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.mmo.cz\users$\dannhoferovair\Documents\ROZPOČTY SMO\Rozpočet 2022\PŘÍLOHY\"/>
    </mc:Choice>
  </mc:AlternateContent>
  <xr:revisionPtr revIDLastSave="0" documentId="13_ncr:1_{476ED6FB-39F1-403C-815B-D5635235F74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NID 2022 - VI.verze" sheetId="46" state="hidden" r:id="rId1"/>
    <sheet name="INV dotace" sheetId="53" r:id="rId2"/>
    <sheet name="NIV dotace" sheetId="47" r:id="rId3"/>
    <sheet name="převody INV" sheetId="5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47" l="1"/>
  <c r="E68" i="47"/>
  <c r="D68" i="47"/>
  <c r="C68" i="47"/>
  <c r="H33" i="53" l="1"/>
  <c r="D33" i="53"/>
  <c r="C33" i="53"/>
  <c r="B33" i="53"/>
  <c r="E17" i="53"/>
  <c r="E12" i="53"/>
  <c r="D4" i="53"/>
  <c r="D6" i="53" s="1"/>
  <c r="F28" i="53" s="1"/>
  <c r="G23" i="53" l="1"/>
  <c r="F12" i="53"/>
  <c r="G18" i="53"/>
  <c r="F31" i="53"/>
  <c r="G12" i="53"/>
  <c r="I12" i="53" s="1"/>
  <c r="J12" i="53" s="1"/>
  <c r="E25" i="53"/>
  <c r="I25" i="53" s="1"/>
  <c r="J25" i="53" s="1"/>
  <c r="G26" i="53"/>
  <c r="G10" i="53"/>
  <c r="F15" i="53"/>
  <c r="E28" i="53"/>
  <c r="G31" i="53"/>
  <c r="E20" i="53"/>
  <c r="F20" i="53"/>
  <c r="G15" i="53"/>
  <c r="E31" i="53"/>
  <c r="G29" i="53"/>
  <c r="F26" i="53"/>
  <c r="E23" i="53"/>
  <c r="G21" i="53"/>
  <c r="F18" i="53"/>
  <c r="E15" i="53"/>
  <c r="G13" i="53"/>
  <c r="F10" i="53"/>
  <c r="G32" i="53"/>
  <c r="F29" i="53"/>
  <c r="E26" i="53"/>
  <c r="G24" i="53"/>
  <c r="F21" i="53"/>
  <c r="E18" i="53"/>
  <c r="I18" i="53" s="1"/>
  <c r="J18" i="53" s="1"/>
  <c r="G16" i="53"/>
  <c r="F13" i="53"/>
  <c r="E10" i="53"/>
  <c r="F32" i="53"/>
  <c r="E29" i="53"/>
  <c r="I29" i="53" s="1"/>
  <c r="J29" i="53" s="1"/>
  <c r="G27" i="53"/>
  <c r="F24" i="53"/>
  <c r="E21" i="53"/>
  <c r="G19" i="53"/>
  <c r="F16" i="53"/>
  <c r="E13" i="53"/>
  <c r="G11" i="53"/>
  <c r="E32" i="53"/>
  <c r="I32" i="53" s="1"/>
  <c r="J32" i="53" s="1"/>
  <c r="G30" i="53"/>
  <c r="F27" i="53"/>
  <c r="E24" i="53"/>
  <c r="G22" i="53"/>
  <c r="F19" i="53"/>
  <c r="E16" i="53"/>
  <c r="G14" i="53"/>
  <c r="F11" i="53"/>
  <c r="F30" i="53"/>
  <c r="E27" i="53"/>
  <c r="G25" i="53"/>
  <c r="F22" i="53"/>
  <c r="E19" i="53"/>
  <c r="G17" i="53"/>
  <c r="F14" i="53"/>
  <c r="E11" i="53"/>
  <c r="I11" i="53" s="1"/>
  <c r="J11" i="53" s="1"/>
  <c r="E30" i="53"/>
  <c r="G28" i="53"/>
  <c r="F25" i="53"/>
  <c r="E22" i="53"/>
  <c r="I22" i="53" s="1"/>
  <c r="J22" i="53" s="1"/>
  <c r="G20" i="53"/>
  <c r="F17" i="53"/>
  <c r="I17" i="53" s="1"/>
  <c r="J17" i="53" s="1"/>
  <c r="E14" i="53"/>
  <c r="I14" i="53" s="1"/>
  <c r="J14" i="53" s="1"/>
  <c r="F23" i="53"/>
  <c r="I24" i="53" l="1"/>
  <c r="J24" i="53" s="1"/>
  <c r="I21" i="53"/>
  <c r="J21" i="53" s="1"/>
  <c r="I27" i="53"/>
  <c r="J27" i="53" s="1"/>
  <c r="I26" i="53"/>
  <c r="J26" i="53" s="1"/>
  <c r="I30" i="53"/>
  <c r="J30" i="53" s="1"/>
  <c r="I28" i="53"/>
  <c r="J28" i="53" s="1"/>
  <c r="I15" i="53"/>
  <c r="J15" i="53" s="1"/>
  <c r="I20" i="53"/>
  <c r="J20" i="53" s="1"/>
  <c r="I23" i="53"/>
  <c r="J23" i="53" s="1"/>
  <c r="I13" i="53"/>
  <c r="J13" i="53" s="1"/>
  <c r="E33" i="53"/>
  <c r="I10" i="53"/>
  <c r="G33" i="53"/>
  <c r="I16" i="53"/>
  <c r="J16" i="53" s="1"/>
  <c r="I19" i="53"/>
  <c r="J19" i="53" s="1"/>
  <c r="F33" i="53"/>
  <c r="I31" i="53"/>
  <c r="J31" i="53" s="1"/>
  <c r="I33" i="53" l="1"/>
  <c r="J10" i="53"/>
  <c r="J33" i="53" s="1"/>
  <c r="C20" i="52" l="1"/>
  <c r="G37" i="46" l="1"/>
  <c r="H30" i="46"/>
  <c r="H27" i="46"/>
  <c r="H25" i="46"/>
  <c r="H23" i="46"/>
  <c r="H20" i="46"/>
  <c r="H15" i="46"/>
  <c r="B35" i="46"/>
  <c r="H12" i="46"/>
  <c r="B12" i="46"/>
  <c r="F72" i="46"/>
  <c r="E72" i="46"/>
  <c r="K4" i="46" s="1"/>
  <c r="K2" i="46" s="1"/>
  <c r="D72" i="46"/>
  <c r="C72" i="46"/>
  <c r="B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72" i="46" s="1"/>
  <c r="I35" i="46"/>
  <c r="F35" i="46"/>
  <c r="E35" i="46"/>
  <c r="D35" i="46"/>
  <c r="C35" i="46"/>
  <c r="G34" i="46"/>
  <c r="F34" i="46"/>
  <c r="E34" i="46"/>
  <c r="D34" i="46"/>
  <c r="C34" i="46"/>
  <c r="B34" i="46"/>
  <c r="H34" i="46" s="1"/>
  <c r="F33" i="46"/>
  <c r="E33" i="46"/>
  <c r="D33" i="46"/>
  <c r="G33" i="46" s="1"/>
  <c r="C33" i="46"/>
  <c r="B33" i="46"/>
  <c r="G32" i="46"/>
  <c r="F32" i="46"/>
  <c r="E32" i="46"/>
  <c r="D32" i="46"/>
  <c r="C32" i="46"/>
  <c r="B32" i="46"/>
  <c r="H32" i="46" s="1"/>
  <c r="F31" i="46"/>
  <c r="E31" i="46"/>
  <c r="D31" i="46"/>
  <c r="G31" i="46" s="1"/>
  <c r="C31" i="46"/>
  <c r="B31" i="46"/>
  <c r="H31" i="46" s="1"/>
  <c r="G30" i="46"/>
  <c r="F30" i="46"/>
  <c r="E30" i="46"/>
  <c r="D30" i="46"/>
  <c r="C30" i="46"/>
  <c r="B30" i="46"/>
  <c r="F29" i="46"/>
  <c r="E29" i="46"/>
  <c r="D29" i="46"/>
  <c r="G29" i="46" s="1"/>
  <c r="C29" i="46"/>
  <c r="B29" i="46"/>
  <c r="H29" i="46" s="1"/>
  <c r="G28" i="46"/>
  <c r="F28" i="46"/>
  <c r="E28" i="46"/>
  <c r="D28" i="46"/>
  <c r="C28" i="46"/>
  <c r="B28" i="46"/>
  <c r="H28" i="46" s="1"/>
  <c r="F27" i="46"/>
  <c r="E27" i="46"/>
  <c r="D27" i="46"/>
  <c r="G27" i="46" s="1"/>
  <c r="C27" i="46"/>
  <c r="B27" i="46"/>
  <c r="G26" i="46"/>
  <c r="F26" i="46"/>
  <c r="E26" i="46"/>
  <c r="D26" i="46"/>
  <c r="C26" i="46"/>
  <c r="B26" i="46"/>
  <c r="H26" i="46" s="1"/>
  <c r="F25" i="46"/>
  <c r="E25" i="46"/>
  <c r="D25" i="46"/>
  <c r="G25" i="46" s="1"/>
  <c r="C25" i="46"/>
  <c r="B25" i="46"/>
  <c r="G24" i="46"/>
  <c r="F24" i="46"/>
  <c r="E24" i="46"/>
  <c r="D24" i="46"/>
  <c r="C24" i="46"/>
  <c r="B24" i="46"/>
  <c r="H24" i="46" s="1"/>
  <c r="F23" i="46"/>
  <c r="E23" i="46"/>
  <c r="D23" i="46"/>
  <c r="G23" i="46" s="1"/>
  <c r="C23" i="46"/>
  <c r="B23" i="46"/>
  <c r="G22" i="46"/>
  <c r="F22" i="46"/>
  <c r="E22" i="46"/>
  <c r="D22" i="46"/>
  <c r="C22" i="46"/>
  <c r="B22" i="46"/>
  <c r="H22" i="46" s="1"/>
  <c r="F21" i="46"/>
  <c r="E21" i="46"/>
  <c r="D21" i="46"/>
  <c r="G21" i="46" s="1"/>
  <c r="C21" i="46"/>
  <c r="B21" i="46"/>
  <c r="G20" i="46"/>
  <c r="F20" i="46"/>
  <c r="E20" i="46"/>
  <c r="D20" i="46"/>
  <c r="C20" i="46"/>
  <c r="B20" i="46"/>
  <c r="F19" i="46"/>
  <c r="E19" i="46"/>
  <c r="D19" i="46"/>
  <c r="G19" i="46" s="1"/>
  <c r="C19" i="46"/>
  <c r="B19" i="46"/>
  <c r="H19" i="46" s="1"/>
  <c r="G18" i="46"/>
  <c r="F18" i="46"/>
  <c r="E18" i="46"/>
  <c r="D18" i="46"/>
  <c r="C18" i="46"/>
  <c r="B18" i="46"/>
  <c r="H18" i="46" s="1"/>
  <c r="F17" i="46"/>
  <c r="E17" i="46"/>
  <c r="D17" i="46"/>
  <c r="G17" i="46" s="1"/>
  <c r="C17" i="46"/>
  <c r="B17" i="46"/>
  <c r="H17" i="46" s="1"/>
  <c r="G16" i="46"/>
  <c r="F16" i="46"/>
  <c r="E16" i="46"/>
  <c r="D16" i="46"/>
  <c r="C16" i="46"/>
  <c r="B16" i="46"/>
  <c r="H16" i="46" s="1"/>
  <c r="F15" i="46"/>
  <c r="E15" i="46"/>
  <c r="D15" i="46"/>
  <c r="G15" i="46" s="1"/>
  <c r="C15" i="46"/>
  <c r="B15" i="46"/>
  <c r="G14" i="46"/>
  <c r="F14" i="46"/>
  <c r="E14" i="46"/>
  <c r="D14" i="46"/>
  <c r="C14" i="46"/>
  <c r="B14" i="46"/>
  <c r="H14" i="46" s="1"/>
  <c r="F13" i="46"/>
  <c r="E13" i="46"/>
  <c r="D13" i="46"/>
  <c r="G13" i="46" s="1"/>
  <c r="C13" i="46"/>
  <c r="B13" i="46"/>
  <c r="H13" i="46" s="1"/>
  <c r="G12" i="46"/>
  <c r="F12" i="46"/>
  <c r="E12" i="46"/>
  <c r="D12" i="46"/>
  <c r="C12" i="46"/>
  <c r="J18" i="46" l="1"/>
  <c r="K18" i="46"/>
  <c r="K31" i="46"/>
  <c r="J31" i="46"/>
  <c r="K17" i="46"/>
  <c r="J17" i="46"/>
  <c r="J28" i="46"/>
  <c r="K28" i="46"/>
  <c r="G35" i="46"/>
  <c r="K15" i="46"/>
  <c r="J15" i="46"/>
  <c r="J26" i="46"/>
  <c r="K26" i="46"/>
  <c r="K13" i="46"/>
  <c r="J13" i="46"/>
  <c r="J24" i="46"/>
  <c r="K24" i="46"/>
  <c r="J22" i="46"/>
  <c r="K22" i="46"/>
  <c r="J34" i="46"/>
  <c r="K34" i="46"/>
  <c r="J19" i="46"/>
  <c r="K19" i="46"/>
  <c r="J30" i="46"/>
  <c r="K30" i="46"/>
  <c r="J16" i="46"/>
  <c r="K16" i="46"/>
  <c r="K29" i="46"/>
  <c r="J29" i="46"/>
  <c r="J14" i="46"/>
  <c r="K14" i="46"/>
  <c r="K27" i="46"/>
  <c r="J27" i="46"/>
  <c r="J12" i="46"/>
  <c r="K12" i="46"/>
  <c r="K25" i="46"/>
  <c r="J25" i="46"/>
  <c r="J20" i="46"/>
  <c r="K20" i="46"/>
  <c r="H21" i="46"/>
  <c r="J32" i="46"/>
  <c r="K32" i="46"/>
  <c r="H33" i="46"/>
  <c r="K23" i="46" l="1"/>
  <c r="J23" i="46"/>
  <c r="K33" i="46"/>
  <c r="J33" i="46"/>
  <c r="J35" i="46" s="1"/>
  <c r="K21" i="46"/>
  <c r="J21" i="46"/>
  <c r="H35" i="46"/>
  <c r="K35" i="46" l="1"/>
</calcChain>
</file>

<file path=xl/sharedStrings.xml><?xml version="1.0" encoding="utf-8"?>
<sst xmlns="http://schemas.openxmlformats.org/spreadsheetml/2006/main" count="227" uniqueCount="101">
  <si>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</si>
  <si>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</si>
  <si>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</si>
  <si>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</si>
  <si>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</si>
  <si>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</si>
  <si>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</si>
  <si>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</si>
  <si>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</si>
  <si>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</si>
  <si>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</si>
  <si>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</si>
  <si>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</si>
  <si>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</si>
  <si>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</si>
  <si>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</si>
  <si>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</si>
  <si>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</si>
  <si>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</si>
  <si>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</si>
  <si>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</si>
  <si>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Polanka nad Odrou</t>
  </si>
  <si>
    <t>celkem (1+2)</t>
  </si>
  <si>
    <t>Rozdělení neinvestiční neúčelové dotace městským obvodům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</si>
  <si>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</si>
  <si>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</si>
  <si>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</si>
  <si>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</si>
  <si>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</si>
  <si>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</si>
  <si>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 xml:space="preserve"> počet obyvatel</t>
  </si>
  <si>
    <t>rozloha obvodu</t>
  </si>
  <si>
    <t>rozloha komunikací</t>
  </si>
  <si>
    <t>tis. Kč</t>
  </si>
  <si>
    <t>v tis. Kč</t>
  </si>
  <si>
    <t>Dotace na 1 žáka</t>
  </si>
  <si>
    <t xml:space="preserve">Počty žáků ZŠ a MŠ </t>
  </si>
  <si>
    <t>Výše dotace v roce</t>
  </si>
  <si>
    <t>rozloha zelených ploch</t>
  </si>
  <si>
    <t xml:space="preserve">z toho: žáci           </t>
  </si>
  <si>
    <t>Rozloha komunikací v m²</t>
  </si>
  <si>
    <t>Celková plocha zeleně m²</t>
  </si>
  <si>
    <t>Rozloha městského obvodu v ha</t>
  </si>
  <si>
    <t>celkem v tis. Kč</t>
  </si>
  <si>
    <t>Celkem</t>
  </si>
  <si>
    <t>rozdíl bez dokrývání Mob (3-4)</t>
  </si>
  <si>
    <t>zůstává k rozdělení</t>
  </si>
  <si>
    <t>aktualizace</t>
  </si>
  <si>
    <t>šk. rok</t>
  </si>
  <si>
    <t>2020/2021</t>
  </si>
  <si>
    <t>*</t>
  </si>
  <si>
    <t>k 7.9.2021</t>
  </si>
  <si>
    <t xml:space="preserve">                          (1/10 z celkových sdílených daní 8 049 924 899 Kč)</t>
  </si>
  <si>
    <t xml:space="preserve">neúčelová dotace 2021 </t>
  </si>
  <si>
    <t>neúčelová dotace 2022</t>
  </si>
  <si>
    <t xml:space="preserve">* dotace na žáka ve výši 15,256 tis. kč je vypočtena z predikovaného objemu sdílených daní pro rok 2022 na základě podílového koeficientu pro školství  a počtu žáků ZŠ a MŠ Ostravy ve výši </t>
  </si>
  <si>
    <t xml:space="preserve">dotace na žáka (15,256 tis. Kč/1 žáka) </t>
  </si>
  <si>
    <t xml:space="preserve">30 149 určených  vyhláškou MF č. 313/2021  Sb. </t>
  </si>
  <si>
    <t>k 15.10.2021</t>
  </si>
  <si>
    <t>Přepočtený počet obyvatel k 1.1.2021</t>
  </si>
  <si>
    <t>se všemi aktuálními údaji</t>
  </si>
  <si>
    <t>Při propočtu tabulky dle aktuálního stavu žáků ZŠ a MŠ vznikla úspora na dotaci celkem</t>
  </si>
  <si>
    <t>sdílené daně</t>
  </si>
  <si>
    <t>Kč</t>
  </si>
  <si>
    <t>celková výše dotace - 3 % ze sdílených daní</t>
  </si>
  <si>
    <t>tis.Kč</t>
  </si>
  <si>
    <t>základní příděl = 1 000 tis. Kč/městský obvod</t>
  </si>
  <si>
    <t>k rozdělení dle kritérií</t>
  </si>
  <si>
    <t>12 % 
dle rozlohy obvodu</t>
  </si>
  <si>
    <t>25 % 
dle rozlohy komunikací</t>
  </si>
  <si>
    <t>19 % 
dle rozlohy zelených ploch</t>
  </si>
  <si>
    <t>celkem
v tis. Kč</t>
  </si>
  <si>
    <t>Neúčelová neinvestiční dotace pro městské obvody na rok 2022</t>
  </si>
  <si>
    <t xml:space="preserve">dotace na žáka (15,256 tis. Kč/
1 žáka) </t>
  </si>
  <si>
    <t>CELKEM</t>
  </si>
  <si>
    <t>Neúčelová investiční dotace pro městské obvody na rok 2022</t>
  </si>
  <si>
    <t>Rozloha MO
v  ha</t>
  </si>
  <si>
    <t>55%                 dle počtu obyvatel</t>
  </si>
  <si>
    <t>15%                      dle rozlohy obvodu</t>
  </si>
  <si>
    <t>základ                    1 000 tis. Kč/    měst.obvod</t>
  </si>
  <si>
    <t>rozdělení dle kritérií</t>
  </si>
  <si>
    <t>Počet obyvatel k 1.1.2021 
(dle ČSÚ)</t>
  </si>
  <si>
    <t>Převod nevyčerpaných neúčelových investičních dotací 
pro městské obvody do rozpočtu r. 2022</t>
  </si>
  <si>
    <t>MĚSTSKÝ OBVOD</t>
  </si>
  <si>
    <t>ÚZ</t>
  </si>
  <si>
    <t>Moravská Ostrava a Přívoz</t>
  </si>
  <si>
    <t>Ostrava - Jih</t>
  </si>
  <si>
    <t>ÚHRN</t>
  </si>
  <si>
    <t>rozdíl pro Mob 
(3-4)</t>
  </si>
  <si>
    <t xml:space="preserve"> 44 % 
dle počtu 
občanů</t>
  </si>
  <si>
    <t>Počet občanů
k 1. 1.2021</t>
  </si>
  <si>
    <t>Rozloha komunikací         v m2</t>
  </si>
  <si>
    <t>30%                 dle rozlohy komunik.</t>
  </si>
  <si>
    <t>celkem</t>
  </si>
  <si>
    <t>dotace - 10% ze sdílených daní</t>
  </si>
  <si>
    <t>dotace na žáky</t>
  </si>
  <si>
    <t>celková výše dotace</t>
  </si>
  <si>
    <t>Počet občanů 
k 1.1.2021 
(dle EO MVČR)</t>
  </si>
  <si>
    <t xml:space="preserve">Počty žáků 
ZŠ a MŠ </t>
  </si>
  <si>
    <t>Neúčelová neinvestiční dotace pro městské obvody na rok 2022 - kritéria</t>
  </si>
  <si>
    <t>v tis.Kč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</si>
</sst>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0"/>
      <name val="Arial CE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1F497D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lightGray">
        <fgColor rgb="FFFFC000"/>
        <bgColor rgb="FFFFFFFF"/>
      </patternFill>
    </fill>
    <fill>
      <patternFill patternType="solid">
        <fgColor rgb="FF00ADD0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6">
    <xf numFmtId="0" fontId="0" fillId="0" borderId="0" xfId="0"/>
    <xf numFmtId="0" fontId="0" fillId="5" borderId="0" xfId="0" applyFill="1"/>
    <xf numFmtId="0" fontId="9" fillId="5" borderId="0" xfId="0" applyFont="1" applyFill="1"/>
    <xf numFmtId="3" fontId="0" fillId="0" borderId="19" xfId="0" applyNumberFormat="1" applyFont="1" applyFill="1" applyBorder="1" applyProtection="1">
      <protection locked="0"/>
    </xf>
    <xf numFmtId="3" fontId="0" fillId="0" borderId="20" xfId="0" applyNumberFormat="1" applyFont="1" applyFill="1" applyBorder="1" applyProtection="1">
      <protection locked="0"/>
    </xf>
    <xf numFmtId="0" fontId="3" fillId="5" borderId="0" xfId="0" applyFont="1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3" fontId="0" fillId="0" borderId="22" xfId="0" applyNumberFormat="1" applyBorder="1"/>
    <xf numFmtId="3" fontId="0" fillId="0" borderId="0" xfId="0" applyNumberFormat="1"/>
    <xf numFmtId="0" fontId="5" fillId="5" borderId="35" xfId="0" quotePrefix="1" applyFont="1" applyFill="1" applyBorder="1" applyAlignment="1" applyProtection="1">
      <alignment horizontal="left"/>
    </xf>
    <xf numFmtId="0" fontId="5" fillId="5" borderId="36" xfId="0" applyFont="1" applyFill="1" applyBorder="1" applyProtection="1"/>
    <xf numFmtId="0" fontId="5" fillId="5" borderId="36" xfId="0" quotePrefix="1" applyFont="1" applyFill="1" applyBorder="1" applyAlignment="1" applyProtection="1">
      <alignment horizontal="left"/>
    </xf>
    <xf numFmtId="3" fontId="6" fillId="0" borderId="28" xfId="0" applyNumberFormat="1" applyFont="1" applyFill="1" applyBorder="1" applyProtection="1">
      <protection locked="0"/>
    </xf>
    <xf numFmtId="3" fontId="6" fillId="0" borderId="2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21" xfId="0" applyNumberFormat="1" applyBorder="1"/>
    <xf numFmtId="0" fontId="13" fillId="0" borderId="0" xfId="0" applyFont="1"/>
    <xf numFmtId="0" fontId="11" fillId="0" borderId="0" xfId="0" applyFont="1"/>
    <xf numFmtId="0" fontId="11" fillId="5" borderId="0" xfId="0" applyFont="1" applyFill="1"/>
    <xf numFmtId="0" fontId="9" fillId="0" borderId="0" xfId="0" applyFont="1" applyAlignment="1"/>
    <xf numFmtId="3" fontId="9" fillId="0" borderId="0" xfId="0" applyNumberFormat="1" applyFont="1"/>
    <xf numFmtId="0" fontId="9" fillId="0" borderId="0" xfId="0" applyFont="1"/>
    <xf numFmtId="0" fontId="14" fillId="5" borderId="0" xfId="0" applyFont="1" applyFill="1" applyBorder="1" applyProtection="1"/>
    <xf numFmtId="1" fontId="0" fillId="0" borderId="0" xfId="0" applyNumberFormat="1"/>
    <xf numFmtId="0" fontId="15" fillId="5" borderId="0" xfId="0" applyFont="1" applyFill="1"/>
    <xf numFmtId="0" fontId="16" fillId="5" borderId="0" xfId="0" applyFont="1" applyFill="1" applyAlignment="1"/>
    <xf numFmtId="0" fontId="17" fillId="0" borderId="0" xfId="0" applyFont="1" applyAlignment="1">
      <alignment horizontal="center"/>
    </xf>
    <xf numFmtId="0" fontId="19" fillId="5" borderId="0" xfId="0" applyFont="1" applyFill="1"/>
    <xf numFmtId="0" fontId="20" fillId="5" borderId="0" xfId="0" applyFont="1" applyFill="1" applyAlignment="1">
      <alignment horizontal="right"/>
    </xf>
    <xf numFmtId="3" fontId="10" fillId="9" borderId="0" xfId="0" applyNumberFormat="1" applyFont="1" applyFill="1" applyAlignment="1">
      <alignment horizontal="right"/>
    </xf>
    <xf numFmtId="0" fontId="21" fillId="5" borderId="0" xfId="0" applyFont="1" applyFill="1"/>
    <xf numFmtId="0" fontId="19" fillId="0" borderId="0" xfId="0" applyFont="1"/>
    <xf numFmtId="3" fontId="10" fillId="10" borderId="0" xfId="0" applyNumberFormat="1" applyFont="1" applyFill="1" applyAlignment="1">
      <alignment horizontal="right"/>
    </xf>
    <xf numFmtId="3" fontId="10" fillId="11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0" fontId="18" fillId="10" borderId="31" xfId="0" applyFont="1" applyFill="1" applyBorder="1" applyAlignment="1">
      <alignment horizontal="center" wrapText="1"/>
    </xf>
    <xf numFmtId="0" fontId="18" fillId="7" borderId="6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17" fillId="10" borderId="32" xfId="0" applyFont="1" applyFill="1" applyBorder="1" applyAlignment="1">
      <alignment horizontal="center" vertical="center" wrapText="1"/>
    </xf>
    <xf numFmtId="9" fontId="22" fillId="11" borderId="5" xfId="0" applyNumberFormat="1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22" fillId="0" borderId="9" xfId="0" applyFont="1" applyBorder="1"/>
    <xf numFmtId="0" fontId="23" fillId="5" borderId="18" xfId="0" quotePrefix="1" applyFont="1" applyFill="1" applyBorder="1" applyAlignment="1" applyProtection="1">
      <alignment horizontal="left"/>
    </xf>
    <xf numFmtId="0" fontId="23" fillId="5" borderId="7" xfId="0" applyFont="1" applyFill="1" applyBorder="1" applyProtection="1"/>
    <xf numFmtId="0" fontId="23" fillId="5" borderId="7" xfId="0" quotePrefix="1" applyFont="1" applyFill="1" applyBorder="1" applyAlignment="1" applyProtection="1">
      <alignment horizontal="left"/>
    </xf>
    <xf numFmtId="0" fontId="23" fillId="5" borderId="8" xfId="0" applyFont="1" applyFill="1" applyBorder="1" applyProtection="1"/>
    <xf numFmtId="3" fontId="19" fillId="3" borderId="34" xfId="0" applyNumberFormat="1" applyFont="1" applyFill="1" applyBorder="1" applyProtection="1">
      <protection hidden="1"/>
    </xf>
    <xf numFmtId="3" fontId="19" fillId="3" borderId="49" xfId="0" applyNumberFormat="1" applyFont="1" applyFill="1" applyBorder="1" applyProtection="1">
      <protection hidden="1"/>
    </xf>
    <xf numFmtId="3" fontId="19" fillId="3" borderId="31" xfId="0" applyNumberFormat="1" applyFont="1" applyFill="1" applyBorder="1" applyProtection="1">
      <protection hidden="1"/>
    </xf>
    <xf numFmtId="3" fontId="19" fillId="3" borderId="3" xfId="0" applyNumberFormat="1" applyFont="1" applyFill="1" applyBorder="1" applyProtection="1">
      <protection hidden="1"/>
    </xf>
    <xf numFmtId="3" fontId="19" fillId="7" borderId="6" xfId="0" applyNumberFormat="1" applyFont="1" applyFill="1" applyBorder="1"/>
    <xf numFmtId="3" fontId="19" fillId="0" borderId="3" xfId="0" applyNumberFormat="1" applyFont="1" applyBorder="1"/>
    <xf numFmtId="3" fontId="19" fillId="5" borderId="15" xfId="0" applyNumberFormat="1" applyFont="1" applyFill="1" applyBorder="1"/>
    <xf numFmtId="3" fontId="19" fillId="9" borderId="6" xfId="0" applyNumberFormat="1" applyFont="1" applyFill="1" applyBorder="1"/>
    <xf numFmtId="3" fontId="19" fillId="10" borderId="7" xfId="0" applyNumberFormat="1" applyFont="1" applyFill="1" applyBorder="1"/>
    <xf numFmtId="3" fontId="19" fillId="3" borderId="29" xfId="0" applyNumberFormat="1" applyFont="1" applyFill="1" applyBorder="1" applyProtection="1">
      <protection hidden="1"/>
    </xf>
    <xf numFmtId="3" fontId="19" fillId="3" borderId="45" xfId="0" applyNumberFormat="1" applyFont="1" applyFill="1" applyBorder="1" applyProtection="1">
      <protection hidden="1"/>
    </xf>
    <xf numFmtId="3" fontId="19" fillId="3" borderId="19" xfId="0" applyNumberFormat="1" applyFont="1" applyFill="1" applyBorder="1" applyProtection="1">
      <protection hidden="1"/>
    </xf>
    <xf numFmtId="3" fontId="19" fillId="3" borderId="4" xfId="0" applyNumberFormat="1" applyFont="1" applyFill="1" applyBorder="1" applyProtection="1">
      <protection hidden="1"/>
    </xf>
    <xf numFmtId="3" fontId="19" fillId="7" borderId="18" xfId="0" applyNumberFormat="1" applyFont="1" applyFill="1" applyBorder="1"/>
    <xf numFmtId="3" fontId="19" fillId="0" borderId="4" xfId="0" applyNumberFormat="1" applyFont="1" applyBorder="1"/>
    <xf numFmtId="3" fontId="19" fillId="5" borderId="7" xfId="0" applyNumberFormat="1" applyFont="1" applyFill="1" applyBorder="1"/>
    <xf numFmtId="3" fontId="19" fillId="9" borderId="18" xfId="0" applyNumberFormat="1" applyFont="1" applyFill="1" applyBorder="1"/>
    <xf numFmtId="3" fontId="19" fillId="7" borderId="7" xfId="0" applyNumberFormat="1" applyFont="1" applyFill="1" applyBorder="1"/>
    <xf numFmtId="3" fontId="19" fillId="5" borderId="16" xfId="0" applyNumberFormat="1" applyFont="1" applyFill="1" applyBorder="1"/>
    <xf numFmtId="3" fontId="19" fillId="10" borderId="18" xfId="0" applyNumberFormat="1" applyFont="1" applyFill="1" applyBorder="1"/>
    <xf numFmtId="3" fontId="19" fillId="3" borderId="22" xfId="0" applyNumberFormat="1" applyFont="1" applyFill="1" applyBorder="1" applyProtection="1">
      <protection hidden="1"/>
    </xf>
    <xf numFmtId="3" fontId="19" fillId="3" borderId="28" xfId="0" applyNumberFormat="1" applyFont="1" applyFill="1" applyBorder="1" applyProtection="1">
      <protection hidden="1"/>
    </xf>
    <xf numFmtId="3" fontId="19" fillId="3" borderId="46" xfId="0" applyNumberFormat="1" applyFont="1" applyFill="1" applyBorder="1" applyProtection="1">
      <protection hidden="1"/>
    </xf>
    <xf numFmtId="3" fontId="19" fillId="3" borderId="20" xfId="0" applyNumberFormat="1" applyFont="1" applyFill="1" applyBorder="1" applyProtection="1">
      <protection hidden="1"/>
    </xf>
    <xf numFmtId="3" fontId="12" fillId="10" borderId="7" xfId="0" applyNumberFormat="1" applyFont="1" applyFill="1" applyBorder="1"/>
    <xf numFmtId="3" fontId="19" fillId="3" borderId="33" xfId="0" applyNumberFormat="1" applyFont="1" applyFill="1" applyBorder="1" applyProtection="1">
      <protection hidden="1"/>
    </xf>
    <xf numFmtId="3" fontId="19" fillId="10" borderId="8" xfId="0" applyNumberFormat="1" applyFont="1" applyFill="1" applyBorder="1"/>
    <xf numFmtId="3" fontId="19" fillId="3" borderId="30" xfId="0" applyNumberFormat="1" applyFont="1" applyFill="1" applyBorder="1" applyProtection="1">
      <protection hidden="1"/>
    </xf>
    <xf numFmtId="3" fontId="19" fillId="3" borderId="47" xfId="0" applyNumberFormat="1" applyFont="1" applyFill="1" applyBorder="1" applyProtection="1">
      <protection hidden="1"/>
    </xf>
    <xf numFmtId="3" fontId="19" fillId="3" borderId="23" xfId="0" applyNumberFormat="1" applyFont="1" applyFill="1" applyBorder="1" applyProtection="1">
      <protection hidden="1"/>
    </xf>
    <xf numFmtId="3" fontId="19" fillId="3" borderId="41" xfId="0" applyNumberFormat="1" applyFont="1" applyFill="1" applyBorder="1" applyProtection="1">
      <protection hidden="1"/>
    </xf>
    <xf numFmtId="3" fontId="19" fillId="7" borderId="24" xfId="0" applyNumberFormat="1" applyFont="1" applyFill="1" applyBorder="1"/>
    <xf numFmtId="3" fontId="19" fillId="0" borderId="27" xfId="0" applyNumberFormat="1" applyFont="1" applyBorder="1"/>
    <xf numFmtId="3" fontId="19" fillId="5" borderId="24" xfId="0" applyNumberFormat="1" applyFont="1" applyFill="1" applyBorder="1"/>
    <xf numFmtId="3" fontId="19" fillId="9" borderId="24" xfId="0" applyNumberFormat="1" applyFont="1" applyFill="1" applyBorder="1"/>
    <xf numFmtId="3" fontId="24" fillId="3" borderId="50" xfId="0" applyNumberFormat="1" applyFont="1" applyFill="1" applyBorder="1" applyProtection="1">
      <protection hidden="1"/>
    </xf>
    <xf numFmtId="3" fontId="24" fillId="3" borderId="51" xfId="0" applyNumberFormat="1" applyFont="1" applyFill="1" applyBorder="1" applyProtection="1">
      <protection hidden="1"/>
    </xf>
    <xf numFmtId="3" fontId="24" fillId="3" borderId="48" xfId="0" applyNumberFormat="1" applyFont="1" applyFill="1" applyBorder="1" applyProtection="1">
      <protection hidden="1"/>
    </xf>
    <xf numFmtId="3" fontId="2" fillId="3" borderId="5" xfId="0" applyNumberFormat="1" applyFont="1" applyFill="1" applyBorder="1" applyProtection="1">
      <protection hidden="1"/>
    </xf>
    <xf numFmtId="3" fontId="2" fillId="7" borderId="9" xfId="0" applyNumberFormat="1" applyFont="1" applyFill="1" applyBorder="1"/>
    <xf numFmtId="3" fontId="2" fillId="5" borderId="5" xfId="0" applyNumberFormat="1" applyFont="1" applyFill="1" applyBorder="1"/>
    <xf numFmtId="3" fontId="2" fillId="5" borderId="9" xfId="0" applyNumberFormat="1" applyFont="1" applyFill="1" applyBorder="1"/>
    <xf numFmtId="3" fontId="2" fillId="9" borderId="9" xfId="0" applyNumberFormat="1" applyFont="1" applyFill="1" applyBorder="1"/>
    <xf numFmtId="3" fontId="9" fillId="0" borderId="0" xfId="0" applyNumberFormat="1" applyFont="1" applyBorder="1"/>
    <xf numFmtId="166" fontId="3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right"/>
    </xf>
    <xf numFmtId="3" fontId="12" fillId="5" borderId="7" xfId="0" applyNumberFormat="1" applyFont="1" applyFill="1" applyBorder="1"/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9" fontId="22" fillId="2" borderId="53" xfId="0" applyNumberFormat="1" applyFont="1" applyFill="1" applyBorder="1" applyAlignment="1" applyProtection="1">
      <alignment horizontal="center" vertical="center" wrapText="1"/>
    </xf>
    <xf numFmtId="9" fontId="22" fillId="11" borderId="38" xfId="0" applyNumberFormat="1" applyFont="1" applyFill="1" applyBorder="1" applyAlignment="1" applyProtection="1">
      <alignment horizontal="center" vertical="center" wrapText="1"/>
    </xf>
    <xf numFmtId="1" fontId="23" fillId="11" borderId="33" xfId="0" applyNumberFormat="1" applyFont="1" applyFill="1" applyBorder="1" applyAlignment="1" applyProtection="1">
      <alignment horizontal="center" vertical="center" wrapText="1"/>
    </xf>
    <xf numFmtId="9" fontId="22" fillId="12" borderId="53" xfId="0" applyNumberFormat="1" applyFont="1" applyFill="1" applyBorder="1" applyAlignment="1" applyProtection="1">
      <alignment horizontal="center" vertical="center" wrapText="1"/>
    </xf>
    <xf numFmtId="9" fontId="22" fillId="2" borderId="17" xfId="0" applyNumberFormat="1" applyFont="1" applyFill="1" applyBorder="1" applyAlignment="1" applyProtection="1">
      <alignment horizontal="center" vertical="center" wrapText="1"/>
    </xf>
    <xf numFmtId="9" fontId="22" fillId="2" borderId="2" xfId="0" applyNumberFormat="1" applyFont="1" applyFill="1" applyBorder="1" applyAlignment="1" applyProtection="1">
      <alignment horizontal="center" vertical="center" wrapText="1"/>
    </xf>
    <xf numFmtId="0" fontId="5" fillId="5" borderId="54" xfId="0" applyFont="1" applyFill="1" applyBorder="1" applyProtection="1"/>
    <xf numFmtId="3" fontId="6" fillId="0" borderId="55" xfId="0" applyNumberFormat="1" applyFont="1" applyFill="1" applyBorder="1" applyProtection="1">
      <protection locked="0"/>
    </xf>
    <xf numFmtId="3" fontId="0" fillId="0" borderId="56" xfId="0" applyNumberFormat="1" applyFont="1" applyFill="1" applyBorder="1" applyProtection="1">
      <protection locked="0"/>
    </xf>
    <xf numFmtId="3" fontId="0" fillId="0" borderId="57" xfId="0" applyNumberFormat="1" applyBorder="1"/>
    <xf numFmtId="0" fontId="7" fillId="6" borderId="37" xfId="0" applyFont="1" applyFill="1" applyBorder="1" applyProtection="1"/>
    <xf numFmtId="3" fontId="1" fillId="4" borderId="40" xfId="0" applyNumberFormat="1" applyFont="1" applyFill="1" applyBorder="1" applyProtection="1"/>
    <xf numFmtId="3" fontId="9" fillId="4" borderId="60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Border="1" applyProtection="1"/>
    <xf numFmtId="3" fontId="1" fillId="4" borderId="59" xfId="0" applyNumberFormat="1" applyFont="1" applyFill="1" applyBorder="1" applyProtection="1">
      <protection hidden="1"/>
    </xf>
    <xf numFmtId="3" fontId="2" fillId="10" borderId="52" xfId="0" applyNumberFormat="1" applyFont="1" applyFill="1" applyBorder="1"/>
    <xf numFmtId="14" fontId="0" fillId="0" borderId="0" xfId="0" applyNumberFormat="1" applyFill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>
      <protection locked="0"/>
    </xf>
    <xf numFmtId="164" fontId="6" fillId="0" borderId="56" xfId="0" applyNumberFormat="1" applyFont="1" applyFill="1" applyBorder="1" applyProtection="1">
      <protection locked="0"/>
    </xf>
    <xf numFmtId="164" fontId="1" fillId="4" borderId="53" xfId="0" applyNumberFormat="1" applyFont="1" applyFill="1" applyBorder="1" applyProtection="1">
      <protection hidden="1"/>
    </xf>
    <xf numFmtId="165" fontId="0" fillId="0" borderId="0" xfId="0" applyNumberFormat="1"/>
    <xf numFmtId="165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6" fontId="0" fillId="0" borderId="0" xfId="0" applyNumberFormat="1"/>
    <xf numFmtId="166" fontId="9" fillId="0" borderId="0" xfId="0" applyNumberFormat="1" applyFont="1"/>
    <xf numFmtId="166" fontId="11" fillId="0" borderId="0" xfId="0" applyNumberFormat="1" applyFont="1"/>
    <xf numFmtId="167" fontId="0" fillId="0" borderId="20" xfId="0" applyNumberFormat="1" applyFont="1" applyFill="1" applyBorder="1" applyProtection="1">
      <protection locked="0"/>
    </xf>
    <xf numFmtId="167" fontId="0" fillId="0" borderId="19" xfId="0" applyNumberFormat="1" applyFont="1" applyFill="1" applyBorder="1" applyProtection="1">
      <protection locked="0"/>
    </xf>
    <xf numFmtId="167" fontId="6" fillId="0" borderId="19" xfId="0" applyNumberFormat="1" applyFont="1" applyFill="1" applyBorder="1" applyProtection="1">
      <protection locked="0"/>
    </xf>
    <xf numFmtId="167" fontId="0" fillId="0" borderId="56" xfId="0" applyNumberFormat="1" applyFont="1" applyFill="1" applyBorder="1" applyProtection="1">
      <protection locked="0"/>
    </xf>
    <xf numFmtId="167" fontId="1" fillId="4" borderId="58" xfId="0" applyNumberFormat="1" applyFont="1" applyFill="1" applyBorder="1" applyProtection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9" fontId="22" fillId="2" borderId="11" xfId="0" applyNumberFormat="1" applyFont="1" applyFill="1" applyBorder="1" applyAlignment="1" applyProtection="1">
      <alignment horizontal="center" vertical="center" wrapText="1"/>
    </xf>
    <xf numFmtId="9" fontId="22" fillId="2" borderId="10" xfId="0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/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29" fillId="0" borderId="0" xfId="0" applyNumberFormat="1" applyFont="1"/>
    <xf numFmtId="4" fontId="29" fillId="0" borderId="0" xfId="0" applyNumberFormat="1" applyFont="1"/>
    <xf numFmtId="0" fontId="29" fillId="0" borderId="0" xfId="0" applyFont="1"/>
    <xf numFmtId="0" fontId="34" fillId="5" borderId="0" xfId="0" applyFont="1" applyFill="1"/>
    <xf numFmtId="0" fontId="34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3" fontId="0" fillId="0" borderId="28" xfId="0" applyNumberFormat="1" applyBorder="1"/>
    <xf numFmtId="167" fontId="0" fillId="0" borderId="20" xfId="0" applyNumberFormat="1" applyBorder="1"/>
    <xf numFmtId="164" fontId="0" fillId="0" borderId="46" xfId="0" applyNumberFormat="1" applyBorder="1"/>
    <xf numFmtId="3" fontId="0" fillId="0" borderId="20" xfId="0" applyNumberFormat="1" applyBorder="1"/>
    <xf numFmtId="3" fontId="0" fillId="0" borderId="18" xfId="0" applyNumberFormat="1" applyBorder="1"/>
    <xf numFmtId="3" fontId="0" fillId="0" borderId="63" xfId="0" applyNumberFormat="1" applyBorder="1"/>
    <xf numFmtId="3" fontId="0" fillId="0" borderId="29" xfId="0" applyNumberFormat="1" applyBorder="1"/>
    <xf numFmtId="167" fontId="0" fillId="0" borderId="19" xfId="0" applyNumberFormat="1" applyBorder="1"/>
    <xf numFmtId="164" fontId="0" fillId="0" borderId="45" xfId="0" applyNumberFormat="1" applyBorder="1"/>
    <xf numFmtId="3" fontId="0" fillId="0" borderId="30" xfId="0" applyNumberFormat="1" applyBorder="1"/>
    <xf numFmtId="167" fontId="0" fillId="0" borderId="23" xfId="0" applyNumberFormat="1" applyBorder="1"/>
    <xf numFmtId="164" fontId="0" fillId="0" borderId="47" xfId="0" applyNumberFormat="1" applyBorder="1"/>
    <xf numFmtId="3" fontId="0" fillId="0" borderId="23" xfId="0" applyNumberFormat="1" applyBorder="1"/>
    <xf numFmtId="3" fontId="0" fillId="0" borderId="65" xfId="0" applyNumberFormat="1" applyBorder="1"/>
    <xf numFmtId="3" fontId="0" fillId="0" borderId="8" xfId="0" applyNumberFormat="1" applyBorder="1"/>
    <xf numFmtId="3" fontId="0" fillId="0" borderId="66" xfId="0" applyNumberFormat="1" applyBorder="1"/>
    <xf numFmtId="0" fontId="0" fillId="0" borderId="0" xfId="0" applyAlignment="1">
      <alignment horizontal="center"/>
    </xf>
    <xf numFmtId="0" fontId="0" fillId="0" borderId="29" xfId="0" applyBorder="1"/>
    <xf numFmtId="3" fontId="0" fillId="0" borderId="19" xfId="0" applyNumberFormat="1" applyBorder="1"/>
    <xf numFmtId="0" fontId="0" fillId="0" borderId="22" xfId="0" applyBorder="1" applyAlignment="1">
      <alignment horizontal="center"/>
    </xf>
    <xf numFmtId="0" fontId="0" fillId="0" borderId="55" xfId="0" applyBorder="1" applyAlignment="1">
      <alignment vertical="center"/>
    </xf>
    <xf numFmtId="0" fontId="30" fillId="14" borderId="31" xfId="0" applyFont="1" applyFill="1" applyBorder="1" applyAlignment="1">
      <alignment horizontal="center" wrapText="1"/>
    </xf>
    <xf numFmtId="1" fontId="32" fillId="14" borderId="3" xfId="0" applyNumberFormat="1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/>
    </xf>
    <xf numFmtId="0" fontId="30" fillId="14" borderId="3" xfId="0" applyFont="1" applyFill="1" applyBorder="1" applyAlignment="1">
      <alignment horizontal="center"/>
    </xf>
    <xf numFmtId="0" fontId="33" fillId="14" borderId="32" xfId="0" applyFont="1" applyFill="1" applyBorder="1" applyAlignment="1">
      <alignment horizontal="center" vertical="center" wrapText="1"/>
    </xf>
    <xf numFmtId="9" fontId="31" fillId="14" borderId="5" xfId="0" applyNumberFormat="1" applyFont="1" applyFill="1" applyBorder="1" applyAlignment="1">
      <alignment horizontal="center" vertical="center" wrapText="1"/>
    </xf>
    <xf numFmtId="0" fontId="33" fillId="14" borderId="9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/>
    </xf>
    <xf numFmtId="0" fontId="31" fillId="14" borderId="40" xfId="0" applyFont="1" applyFill="1" applyBorder="1" applyAlignment="1">
      <alignment horizontal="center" vertical="center" wrapText="1"/>
    </xf>
    <xf numFmtId="0" fontId="31" fillId="14" borderId="61" xfId="0" applyFont="1" applyFill="1" applyBorder="1" applyAlignment="1">
      <alignment horizontal="center" vertical="center" wrapText="1"/>
    </xf>
    <xf numFmtId="0" fontId="31" fillId="14" borderId="59" xfId="0" applyFont="1" applyFill="1" applyBorder="1" applyAlignment="1">
      <alignment horizontal="center" vertical="center" wrapText="1"/>
    </xf>
    <xf numFmtId="9" fontId="31" fillId="14" borderId="40" xfId="0" applyNumberFormat="1" applyFont="1" applyFill="1" applyBorder="1" applyAlignment="1">
      <alignment horizontal="center" vertical="center" wrapText="1"/>
    </xf>
    <xf numFmtId="9" fontId="31" fillId="14" borderId="53" xfId="0" applyNumberFormat="1" applyFont="1" applyFill="1" applyBorder="1" applyAlignment="1">
      <alignment horizontal="center" vertical="center" wrapText="1"/>
    </xf>
    <xf numFmtId="9" fontId="31" fillId="14" borderId="60" xfId="0" applyNumberFormat="1" applyFont="1" applyFill="1" applyBorder="1" applyAlignment="1">
      <alignment horizontal="center" vertical="center" wrapText="1"/>
    </xf>
    <xf numFmtId="0" fontId="31" fillId="14" borderId="62" xfId="0" applyFont="1" applyFill="1" applyBorder="1" applyAlignment="1">
      <alignment horizontal="center" vertical="center" wrapText="1"/>
    </xf>
    <xf numFmtId="9" fontId="31" fillId="14" borderId="62" xfId="0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/>
    <xf numFmtId="167" fontId="9" fillId="14" borderId="2" xfId="0" applyNumberFormat="1" applyFont="1" applyFill="1" applyBorder="1"/>
    <xf numFmtId="164" fontId="9" fillId="14" borderId="68" xfId="0" applyNumberFormat="1" applyFont="1" applyFill="1" applyBorder="1"/>
    <xf numFmtId="3" fontId="9" fillId="14" borderId="2" xfId="0" applyNumberFormat="1" applyFont="1" applyFill="1" applyBorder="1"/>
    <xf numFmtId="3" fontId="9" fillId="14" borderId="69" xfId="0" applyNumberFormat="1" applyFont="1" applyFill="1" applyBorder="1"/>
    <xf numFmtId="3" fontId="9" fillId="14" borderId="9" xfId="0" applyNumberFormat="1" applyFont="1" applyFill="1" applyBorder="1"/>
    <xf numFmtId="3" fontId="9" fillId="14" borderId="70" xfId="0" applyNumberFormat="1" applyFont="1" applyFill="1" applyBorder="1"/>
    <xf numFmtId="3" fontId="9" fillId="14" borderId="52" xfId="0" applyNumberFormat="1" applyFont="1" applyFill="1" applyBorder="1"/>
    <xf numFmtId="0" fontId="9" fillId="14" borderId="34" xfId="0" applyFont="1" applyFill="1" applyBorder="1" applyAlignment="1">
      <alignment horizontal="center"/>
    </xf>
    <xf numFmtId="0" fontId="9" fillId="14" borderId="31" xfId="0" applyFont="1" applyFill="1" applyBorder="1" applyAlignment="1">
      <alignment horizontal="center"/>
    </xf>
    <xf numFmtId="0" fontId="9" fillId="14" borderId="71" xfId="0" applyFont="1" applyFill="1" applyBorder="1" applyAlignment="1">
      <alignment horizontal="center"/>
    </xf>
    <xf numFmtId="0" fontId="34" fillId="14" borderId="40" xfId="0" applyFont="1" applyFill="1" applyBorder="1"/>
    <xf numFmtId="3" fontId="34" fillId="14" borderId="53" xfId="0" applyNumberFormat="1" applyFont="1" applyFill="1" applyBorder="1"/>
    <xf numFmtId="0" fontId="34" fillId="14" borderId="60" xfId="0" applyFont="1" applyFill="1" applyBorder="1" applyAlignment="1">
      <alignment horizontal="center"/>
    </xf>
    <xf numFmtId="9" fontId="22" fillId="13" borderId="11" xfId="0" applyNumberFormat="1" applyFont="1" applyFill="1" applyBorder="1" applyAlignment="1">
      <alignment horizontal="center" vertical="center" wrapText="1"/>
    </xf>
    <xf numFmtId="9" fontId="22" fillId="13" borderId="10" xfId="0" applyNumberFormat="1" applyFont="1" applyFill="1" applyBorder="1" applyAlignment="1">
      <alignment horizontal="center" vertical="center" wrapText="1"/>
    </xf>
    <xf numFmtId="9" fontId="22" fillId="13" borderId="7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9" fontId="22" fillId="2" borderId="1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22" fillId="2" borderId="10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8" borderId="42" xfId="0" applyFont="1" applyFill="1" applyBorder="1" applyAlignment="1" applyProtection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9" fontId="31" fillId="14" borderId="10" xfId="0" applyNumberFormat="1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9" fontId="31" fillId="14" borderId="11" xfId="0" applyNumberFormat="1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35" fillId="0" borderId="0" xfId="0" applyNumberFormat="1" applyFont="1"/>
    <xf numFmtId="0" fontId="5" fillId="0" borderId="35" xfId="0" quotePrefix="1" applyFont="1" applyBorder="1" applyAlignment="1">
      <alignment horizontal="left"/>
    </xf>
    <xf numFmtId="3" fontId="0" fillId="10" borderId="18" xfId="0" applyNumberFormat="1" applyFill="1" applyBorder="1"/>
    <xf numFmtId="0" fontId="5" fillId="0" borderId="36" xfId="0" applyFont="1" applyBorder="1"/>
    <xf numFmtId="0" fontId="5" fillId="0" borderId="36" xfId="0" quotePrefix="1" applyFont="1" applyBorder="1" applyAlignment="1">
      <alignment horizontal="left"/>
    </xf>
    <xf numFmtId="0" fontId="5" fillId="0" borderId="64" xfId="0" applyFont="1" applyBorder="1"/>
    <xf numFmtId="3" fontId="0" fillId="10" borderId="8" xfId="0" applyNumberFormat="1" applyFill="1" applyBorder="1"/>
    <xf numFmtId="0" fontId="7" fillId="14" borderId="67" xfId="0" applyFont="1" applyFill="1" applyBorder="1" applyAlignment="1">
      <alignment horizontal="left"/>
    </xf>
    <xf numFmtId="0" fontId="22" fillId="14" borderId="9" xfId="0" applyFont="1" applyFill="1" applyBorder="1"/>
    <xf numFmtId="0" fontId="5" fillId="5" borderId="35" xfId="0" quotePrefix="1" applyFont="1" applyFill="1" applyBorder="1" applyAlignment="1">
      <alignment horizontal="left"/>
    </xf>
    <xf numFmtId="3" fontId="6" fillId="0" borderId="28" xfId="0" applyNumberFormat="1" applyFont="1" applyBorder="1" applyProtection="1">
      <protection locked="0"/>
    </xf>
    <xf numFmtId="167" fontId="0" fillId="0" borderId="20" xfId="0" applyNumberFormat="1" applyBorder="1" applyProtection="1">
      <protection locked="0"/>
    </xf>
    <xf numFmtId="164" fontId="6" fillId="0" borderId="20" xfId="0" applyNumberFormat="1" applyFont="1" applyBorder="1" applyProtection="1">
      <protection locked="0"/>
    </xf>
    <xf numFmtId="3" fontId="0" fillId="0" borderId="20" xfId="0" applyNumberFormat="1" applyBorder="1" applyProtection="1">
      <protection locked="0"/>
    </xf>
    <xf numFmtId="0" fontId="5" fillId="5" borderId="36" xfId="0" applyFont="1" applyFill="1" applyBorder="1"/>
    <xf numFmtId="3" fontId="6" fillId="0" borderId="29" xfId="0" applyNumberFormat="1" applyFont="1" applyBorder="1" applyProtection="1">
      <protection locked="0"/>
    </xf>
    <xf numFmtId="167" fontId="0" fillId="0" borderId="19" xfId="0" applyNumberFormat="1" applyBorder="1" applyProtection="1">
      <protection locked="0"/>
    </xf>
    <xf numFmtId="164" fontId="6" fillId="0" borderId="19" xfId="0" applyNumberFormat="1" applyFont="1" applyBorder="1" applyProtection="1">
      <protection locked="0"/>
    </xf>
    <xf numFmtId="3" fontId="0" fillId="0" borderId="19" xfId="0" applyNumberFormat="1" applyBorder="1" applyProtection="1">
      <protection locked="0"/>
    </xf>
    <xf numFmtId="167" fontId="6" fillId="0" borderId="19" xfId="0" applyNumberFormat="1" applyFont="1" applyBorder="1" applyProtection="1">
      <protection locked="0"/>
    </xf>
    <xf numFmtId="0" fontId="5" fillId="5" borderId="36" xfId="0" quotePrefix="1" applyFont="1" applyFill="1" applyBorder="1" applyAlignment="1">
      <alignment horizontal="left"/>
    </xf>
    <xf numFmtId="0" fontId="5" fillId="5" borderId="54" xfId="0" applyFont="1" applyFill="1" applyBorder="1"/>
    <xf numFmtId="3" fontId="6" fillId="0" borderId="55" xfId="0" applyNumberFormat="1" applyFont="1" applyBorder="1" applyProtection="1">
      <protection locked="0"/>
    </xf>
    <xf numFmtId="167" fontId="0" fillId="0" borderId="56" xfId="0" applyNumberFormat="1" applyBorder="1" applyProtection="1">
      <protection locked="0"/>
    </xf>
    <xf numFmtId="164" fontId="6" fillId="0" borderId="56" xfId="0" applyNumberFormat="1" applyFont="1" applyBorder="1" applyProtection="1">
      <protection locked="0"/>
    </xf>
    <xf numFmtId="3" fontId="0" fillId="0" borderId="56" xfId="0" applyNumberFormat="1" applyBorder="1" applyProtection="1">
      <protection locked="0"/>
    </xf>
    <xf numFmtId="0" fontId="7" fillId="14" borderId="37" xfId="0" applyFont="1" applyFill="1" applyBorder="1"/>
    <xf numFmtId="3" fontId="1" fillId="14" borderId="40" xfId="0" applyNumberFormat="1" applyFont="1" applyFill="1" applyBorder="1"/>
    <xf numFmtId="167" fontId="1" fillId="14" borderId="58" xfId="0" applyNumberFormat="1" applyFont="1" applyFill="1" applyBorder="1"/>
    <xf numFmtId="164" fontId="1" fillId="14" borderId="53" xfId="0" applyNumberFormat="1" applyFont="1" applyFill="1" applyBorder="1" applyProtection="1">
      <protection hidden="1"/>
    </xf>
    <xf numFmtId="3" fontId="1" fillId="14" borderId="59" xfId="0" applyNumberFormat="1" applyFont="1" applyFill="1" applyBorder="1" applyProtection="1">
      <protection hidden="1"/>
    </xf>
    <xf numFmtId="3" fontId="9" fillId="14" borderId="60" xfId="0" applyNumberFormat="1" applyFont="1" applyFill="1" applyBorder="1"/>
    <xf numFmtId="0" fontId="36" fillId="0" borderId="18" xfId="0" quotePrefix="1" applyFont="1" applyBorder="1" applyAlignment="1">
      <alignment horizontal="left"/>
    </xf>
    <xf numFmtId="0" fontId="36" fillId="0" borderId="7" xfId="0" applyFont="1" applyBorder="1"/>
    <xf numFmtId="0" fontId="36" fillId="0" borderId="7" xfId="0" quotePrefix="1" applyFont="1" applyBorder="1" applyAlignment="1">
      <alignment horizontal="left"/>
    </xf>
    <xf numFmtId="0" fontId="36" fillId="0" borderId="8" xfId="0" applyFont="1" applyBorder="1"/>
    <xf numFmtId="3" fontId="0" fillId="0" borderId="7" xfId="0" applyNumberFormat="1" applyFont="1" applyBorder="1"/>
    <xf numFmtId="3" fontId="0" fillId="0" borderId="34" xfId="0" applyNumberFormat="1" applyFont="1" applyBorder="1" applyProtection="1">
      <protection hidden="1"/>
    </xf>
    <xf numFmtId="3" fontId="0" fillId="0" borderId="49" xfId="0" applyNumberFormat="1" applyFont="1" applyBorder="1" applyProtection="1">
      <protection hidden="1"/>
    </xf>
    <xf numFmtId="3" fontId="0" fillId="0" borderId="31" xfId="0" applyNumberFormat="1" applyFont="1" applyBorder="1" applyProtection="1">
      <protection hidden="1"/>
    </xf>
    <xf numFmtId="3" fontId="0" fillId="0" borderId="3" xfId="0" applyNumberFormat="1" applyFont="1" applyBorder="1" applyProtection="1">
      <protection hidden="1"/>
    </xf>
    <xf numFmtId="3" fontId="0" fillId="0" borderId="6" xfId="0" applyNumberFormat="1" applyFont="1" applyBorder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10" borderId="6" xfId="0" applyNumberFormat="1" applyFont="1" applyFill="1" applyBorder="1"/>
    <xf numFmtId="3" fontId="0" fillId="0" borderId="29" xfId="0" applyNumberFormat="1" applyFont="1" applyBorder="1" applyProtection="1">
      <protection hidden="1"/>
    </xf>
    <xf numFmtId="3" fontId="0" fillId="0" borderId="45" xfId="0" applyNumberFormat="1" applyFont="1" applyBorder="1" applyProtection="1">
      <protection hidden="1"/>
    </xf>
    <xf numFmtId="3" fontId="0" fillId="0" borderId="19" xfId="0" applyNumberFormat="1" applyFont="1" applyBorder="1" applyProtection="1">
      <protection hidden="1"/>
    </xf>
    <xf numFmtId="3" fontId="0" fillId="0" borderId="4" xfId="0" applyNumberFormat="1" applyFont="1" applyBorder="1" applyProtection="1">
      <protection hidden="1"/>
    </xf>
    <xf numFmtId="3" fontId="0" fillId="0" borderId="18" xfId="0" applyNumberFormat="1" applyFont="1" applyBorder="1"/>
    <xf numFmtId="3" fontId="0" fillId="0" borderId="4" xfId="0" applyNumberFormat="1" applyFont="1" applyBorder="1"/>
    <xf numFmtId="3" fontId="0" fillId="10" borderId="18" xfId="0" applyNumberFormat="1" applyFont="1" applyFill="1" applyBorder="1"/>
    <xf numFmtId="3" fontId="0" fillId="0" borderId="22" xfId="0" applyNumberFormat="1" applyFont="1" applyBorder="1" applyProtection="1">
      <protection hidden="1"/>
    </xf>
    <xf numFmtId="3" fontId="0" fillId="0" borderId="16" xfId="0" applyNumberFormat="1" applyFont="1" applyBorder="1"/>
    <xf numFmtId="3" fontId="0" fillId="0" borderId="28" xfId="0" applyNumberFormat="1" applyFont="1" applyBorder="1" applyProtection="1">
      <protection hidden="1"/>
    </xf>
    <xf numFmtId="3" fontId="0" fillId="0" borderId="46" xfId="0" applyNumberFormat="1" applyFont="1" applyBorder="1" applyProtection="1">
      <protection hidden="1"/>
    </xf>
    <xf numFmtId="3" fontId="0" fillId="0" borderId="20" xfId="0" applyNumberFormat="1" applyFont="1" applyBorder="1" applyProtection="1">
      <protection hidden="1"/>
    </xf>
    <xf numFmtId="3" fontId="6" fillId="0" borderId="7" xfId="0" applyNumberFormat="1" applyFont="1" applyBorder="1"/>
    <xf numFmtId="3" fontId="0" fillId="0" borderId="33" xfId="0" applyNumberFormat="1" applyFont="1" applyBorder="1" applyProtection="1">
      <protection hidden="1"/>
    </xf>
    <xf numFmtId="3" fontId="0" fillId="0" borderId="8" xfId="0" applyNumberFormat="1" applyFont="1" applyBorder="1"/>
    <xf numFmtId="3" fontId="0" fillId="0" borderId="30" xfId="0" applyNumberFormat="1" applyFont="1" applyBorder="1" applyProtection="1">
      <protection hidden="1"/>
    </xf>
    <xf numFmtId="3" fontId="0" fillId="0" borderId="47" xfId="0" applyNumberFormat="1" applyFont="1" applyBorder="1" applyProtection="1">
      <protection hidden="1"/>
    </xf>
    <xf numFmtId="3" fontId="0" fillId="0" borderId="23" xfId="0" applyNumberFormat="1" applyFont="1" applyBorder="1" applyProtection="1">
      <protection hidden="1"/>
    </xf>
    <xf numFmtId="3" fontId="0" fillId="0" borderId="41" xfId="0" applyNumberFormat="1" applyFont="1" applyBorder="1" applyProtection="1">
      <protection hidden="1"/>
    </xf>
    <xf numFmtId="3" fontId="0" fillId="0" borderId="24" xfId="0" applyNumberFormat="1" applyFont="1" applyBorder="1"/>
    <xf numFmtId="3" fontId="0" fillId="0" borderId="27" xfId="0" applyNumberFormat="1" applyFont="1" applyBorder="1"/>
    <xf numFmtId="3" fontId="0" fillId="10" borderId="24" xfId="0" applyNumberFormat="1" applyFont="1" applyFill="1" applyBorder="1"/>
    <xf numFmtId="3" fontId="1" fillId="14" borderId="52" xfId="0" applyNumberFormat="1" applyFont="1" applyFill="1" applyBorder="1"/>
    <xf numFmtId="3" fontId="9" fillId="14" borderId="50" xfId="0" applyNumberFormat="1" applyFont="1" applyFill="1" applyBorder="1" applyProtection="1">
      <protection hidden="1"/>
    </xf>
    <xf numFmtId="3" fontId="9" fillId="14" borderId="51" xfId="0" applyNumberFormat="1" applyFont="1" applyFill="1" applyBorder="1" applyProtection="1">
      <protection hidden="1"/>
    </xf>
    <xf numFmtId="3" fontId="9" fillId="14" borderId="48" xfId="0" applyNumberFormat="1" applyFont="1" applyFill="1" applyBorder="1" applyProtection="1">
      <protection hidden="1"/>
    </xf>
    <xf numFmtId="3" fontId="1" fillId="14" borderId="5" xfId="0" applyNumberFormat="1" applyFont="1" applyFill="1" applyBorder="1" applyProtection="1">
      <protection hidden="1"/>
    </xf>
    <xf numFmtId="3" fontId="1" fillId="14" borderId="9" xfId="0" applyNumberFormat="1" applyFont="1" applyFill="1" applyBorder="1"/>
    <xf numFmtId="3" fontId="1" fillId="14" borderId="5" xfId="0" applyNumberFormat="1" applyFont="1" applyFill="1" applyBorder="1"/>
    <xf numFmtId="0" fontId="31" fillId="14" borderId="11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1" fillId="14" borderId="12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43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center" wrapText="1"/>
    </xf>
    <xf numFmtId="0" fontId="30" fillId="14" borderId="17" xfId="0" applyFont="1" applyFill="1" applyBorder="1" applyAlignment="1">
      <alignment horizontal="center" vertical="center" wrapText="1"/>
    </xf>
    <xf numFmtId="0" fontId="30" fillId="14" borderId="39" xfId="0" applyFont="1" applyFill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0" fillId="14" borderId="25" xfId="0" applyFont="1" applyFill="1" applyBorder="1" applyAlignment="1">
      <alignment horizontal="center" vertical="center" wrapText="1"/>
    </xf>
    <xf numFmtId="0" fontId="30" fillId="14" borderId="26" xfId="0" applyFont="1" applyFill="1" applyBorder="1" applyAlignment="1">
      <alignment horizontal="center" vertical="center" wrapText="1"/>
    </xf>
    <xf numFmtId="0" fontId="30" fillId="14" borderId="4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DAEEF3"/>
      <color rgb="FF00ADD0"/>
      <color rgb="FFFFFFF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1AF0-CED2-4370-969C-AF1E4C7F5174}">
  <dimension ref="A1:K106"/>
  <sheetViews>
    <sheetView workbookViewId="0">
      <selection activeCell="K5" sqref="K5"/>
    </sheetView>
  </sheetViews>
  <sheetFormatPr defaultRowHeight="15" x14ac:dyDescent="0.25"/>
  <cols>
    <col min="1" max="1" width="21.85546875" customWidth="1"/>
    <col min="2" max="2" width="15.7109375" customWidth="1"/>
    <col min="3" max="10" width="13.7109375" customWidth="1"/>
    <col min="11" max="11" width="15.7109375" customWidth="1"/>
  </cols>
  <sheetData>
    <row r="1" spans="1:11" ht="20.25" x14ac:dyDescent="0.3">
      <c r="A1" s="25" t="s">
        <v>23</v>
      </c>
      <c r="B1" s="1"/>
      <c r="C1" s="1"/>
      <c r="D1" s="1"/>
      <c r="E1" s="1"/>
      <c r="F1" s="1"/>
      <c r="G1" s="1"/>
      <c r="H1" s="1"/>
      <c r="I1" s="26" t="s">
        <v>37</v>
      </c>
      <c r="J1" s="20"/>
      <c r="K1" s="27">
        <v>2022</v>
      </c>
    </row>
    <row r="2" spans="1:11" ht="18.75" x14ac:dyDescent="0.3">
      <c r="A2" s="19" t="s">
        <v>60</v>
      </c>
      <c r="B2" s="1"/>
      <c r="C2" s="1"/>
      <c r="D2" s="1"/>
      <c r="E2" s="1"/>
      <c r="F2" s="1"/>
      <c r="G2" s="1"/>
      <c r="H2" s="1"/>
      <c r="I2" s="28"/>
      <c r="J2" s="29"/>
      <c r="K2" s="30">
        <f>(K4+K5)</f>
        <v>1258201.9920000001</v>
      </c>
    </row>
    <row r="3" spans="1:11" ht="18.75" x14ac:dyDescent="0.3">
      <c r="A3" s="19"/>
      <c r="B3" s="1"/>
      <c r="C3" s="1"/>
      <c r="D3" s="1"/>
      <c r="E3" s="1"/>
      <c r="F3" s="1"/>
      <c r="G3" s="1"/>
      <c r="H3" s="1"/>
      <c r="I3" s="31"/>
      <c r="J3" s="29"/>
      <c r="K3" s="32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31" t="s">
        <v>39</v>
      </c>
      <c r="J4" s="97"/>
      <c r="K4" s="33">
        <f>B35</f>
        <v>453209.99200000003</v>
      </c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31" t="s">
        <v>46</v>
      </c>
      <c r="J5" s="28"/>
      <c r="K5" s="34">
        <v>804992</v>
      </c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31"/>
      <c r="J6" s="28"/>
      <c r="K6" s="1"/>
    </row>
    <row r="7" spans="1:11" ht="15.75" x14ac:dyDescent="0.25">
      <c r="A7" s="1"/>
      <c r="B7" s="1"/>
      <c r="C7" s="1"/>
      <c r="D7" s="1"/>
      <c r="E7" s="1"/>
      <c r="F7" s="1"/>
      <c r="G7" s="1"/>
      <c r="H7" s="28" t="s">
        <v>52</v>
      </c>
      <c r="I7" s="31"/>
      <c r="J7" s="28"/>
      <c r="K7" s="105"/>
    </row>
    <row r="8" spans="1:11" ht="15.75" thickBot="1" x14ac:dyDescent="0.3">
      <c r="A8" s="1"/>
      <c r="B8" s="1"/>
      <c r="C8" s="1"/>
      <c r="D8" s="1"/>
      <c r="E8" s="1"/>
      <c r="F8" s="1"/>
      <c r="G8" s="1"/>
      <c r="H8" s="1"/>
      <c r="J8" s="28"/>
      <c r="K8" s="28"/>
    </row>
    <row r="9" spans="1:11" ht="15.75" thickBot="1" x14ac:dyDescent="0.3">
      <c r="C9" s="142">
        <v>0.44</v>
      </c>
      <c r="D9" s="143">
        <v>0.12</v>
      </c>
      <c r="E9" s="106">
        <v>0.25</v>
      </c>
      <c r="F9" s="109">
        <v>0.19</v>
      </c>
      <c r="G9" s="107">
        <v>1</v>
      </c>
      <c r="I9" s="1"/>
      <c r="K9" s="35" t="s">
        <v>34</v>
      </c>
    </row>
    <row r="10" spans="1:11" x14ac:dyDescent="0.25">
      <c r="A10" s="213" t="s">
        <v>24</v>
      </c>
      <c r="B10" s="36">
        <v>1</v>
      </c>
      <c r="C10" s="215" t="s">
        <v>30</v>
      </c>
      <c r="D10" s="217" t="s">
        <v>31</v>
      </c>
      <c r="E10" s="217" t="s">
        <v>32</v>
      </c>
      <c r="F10" s="110"/>
      <c r="G10" s="108">
        <v>2</v>
      </c>
      <c r="H10" s="37">
        <v>3</v>
      </c>
      <c r="I10" s="38">
        <v>4</v>
      </c>
      <c r="J10" s="39">
        <v>5</v>
      </c>
      <c r="K10" s="40">
        <v>6</v>
      </c>
    </row>
    <row r="11" spans="1:11" ht="45.75" thickBot="1" x14ac:dyDescent="0.3">
      <c r="A11" s="214"/>
      <c r="B11" s="41" t="s">
        <v>56</v>
      </c>
      <c r="C11" s="216"/>
      <c r="D11" s="218"/>
      <c r="E11" s="218"/>
      <c r="F11" s="111" t="s">
        <v>38</v>
      </c>
      <c r="G11" s="42" t="s">
        <v>43</v>
      </c>
      <c r="H11" s="43" t="s">
        <v>22</v>
      </c>
      <c r="I11" s="44" t="s">
        <v>53</v>
      </c>
      <c r="J11" s="45" t="s">
        <v>45</v>
      </c>
      <c r="K11" s="46" t="s">
        <v>54</v>
      </c>
    </row>
    <row r="12" spans="1:11" x14ac:dyDescent="0.25">
      <c r="A12" s="48" t="s">
        <v>19</v>
      </c>
      <c r="B12" s="60">
        <f>E49*$E$43</f>
        <v>70284.392000000007</v>
      </c>
      <c r="C12" s="52">
        <f>$K$5*$C$9/$B$72*B49</f>
        <v>46032.293372072621</v>
      </c>
      <c r="D12" s="53">
        <f>$K$5*$D$9/$C$72*C49</f>
        <v>5971.1707157337069</v>
      </c>
      <c r="E12" s="54">
        <f>$K$5*$E$9/$D$72*D49</f>
        <v>29857.943556576392</v>
      </c>
      <c r="F12" s="54">
        <f>$K$5*$F$9/$F$72*F49</f>
        <v>18481.400458172531</v>
      </c>
      <c r="G12" s="55">
        <f>C12+D12+E12+F12-1</f>
        <v>100341.80810255525</v>
      </c>
      <c r="H12" s="56">
        <f>B12+G12</f>
        <v>170626.20010255527</v>
      </c>
      <c r="I12" s="57">
        <v>152173</v>
      </c>
      <c r="J12" s="58">
        <f>H12-I12</f>
        <v>18453.200102555274</v>
      </c>
      <c r="K12" s="59">
        <f t="shared" ref="K12:K33" si="0">H12</f>
        <v>170626.20010255527</v>
      </c>
    </row>
    <row r="13" spans="1:11" x14ac:dyDescent="0.25">
      <c r="A13" s="49" t="s">
        <v>14</v>
      </c>
      <c r="B13" s="60">
        <f>E50*$E$43</f>
        <v>26774.28</v>
      </c>
      <c r="C13" s="61">
        <f t="shared" ref="C13:C33" si="1">$K$5*$C$9/$B$72*B50</f>
        <v>25783.40378550224</v>
      </c>
      <c r="D13" s="62">
        <f>$K$5*$D$9/$C$72*C50</f>
        <v>18821.330652240853</v>
      </c>
      <c r="E13" s="63">
        <f t="shared" ref="E13:E35" si="2">$K$5*$E$9/$D$72*D50</f>
        <v>23415.656071073859</v>
      </c>
      <c r="F13" s="63">
        <f t="shared" ref="F13:F22" si="3">$K$5*$F$9/$F$72*F50</f>
        <v>19431.884462524067</v>
      </c>
      <c r="G13" s="64">
        <f>C13+D13+E13+F13</f>
        <v>87452.274971341016</v>
      </c>
      <c r="H13" s="65">
        <f>B13+G13-1</f>
        <v>114225.55497134101</v>
      </c>
      <c r="I13" s="66">
        <v>102684</v>
      </c>
      <c r="J13" s="67">
        <f t="shared" ref="J13:J33" si="4">SUM(H13-I13)</f>
        <v>11541.554971341015</v>
      </c>
      <c r="K13" s="68">
        <f t="shared" si="0"/>
        <v>114225.55497134101</v>
      </c>
    </row>
    <row r="14" spans="1:11" x14ac:dyDescent="0.25">
      <c r="A14" s="49" t="s">
        <v>8</v>
      </c>
      <c r="B14" s="60">
        <f t="shared" ref="B14:B34" si="5">E51*$E$43</f>
        <v>155229.79999999999</v>
      </c>
      <c r="C14" s="61">
        <f t="shared" si="1"/>
        <v>123449.61987943097</v>
      </c>
      <c r="D14" s="62">
        <f>$K$5*$D$9/$C$72*C51</f>
        <v>7356.4727695968431</v>
      </c>
      <c r="E14" s="63">
        <f t="shared" si="2"/>
        <v>50099.02197574357</v>
      </c>
      <c r="F14" s="63">
        <f t="shared" si="3"/>
        <v>39954.800811644687</v>
      </c>
      <c r="G14" s="64">
        <f>C14+D14+E14+F14</f>
        <v>220859.91543641611</v>
      </c>
      <c r="H14" s="69">
        <f t="shared" ref="H14" si="6">B14+G14</f>
        <v>376089.7154364161</v>
      </c>
      <c r="I14" s="66">
        <v>336489</v>
      </c>
      <c r="J14" s="67">
        <f t="shared" si="4"/>
        <v>39600.715436416096</v>
      </c>
      <c r="K14" s="68">
        <f t="shared" si="0"/>
        <v>376089.7154364161</v>
      </c>
    </row>
    <row r="15" spans="1:11" x14ac:dyDescent="0.25">
      <c r="A15" s="49" t="s">
        <v>11</v>
      </c>
      <c r="B15" s="60">
        <f t="shared" si="5"/>
        <v>108287.088</v>
      </c>
      <c r="C15" s="61">
        <f t="shared" si="1"/>
        <v>77234.624152262244</v>
      </c>
      <c r="D15" s="62">
        <f t="shared" ref="D15:D32" si="7">$K$5*$D$9/$C$72*C52</f>
        <v>5942.6782876082343</v>
      </c>
      <c r="E15" s="63">
        <f t="shared" si="2"/>
        <v>28459.583029403908</v>
      </c>
      <c r="F15" s="63">
        <f>$K$5*$F$9/$F$72*F52</f>
        <v>28266.686145878437</v>
      </c>
      <c r="G15" s="64">
        <f>C15+D15+E15+F15+1</f>
        <v>139904.57161515282</v>
      </c>
      <c r="H15" s="69">
        <f>B15+G15</f>
        <v>248191.65961515281</v>
      </c>
      <c r="I15" s="66">
        <v>221330</v>
      </c>
      <c r="J15" s="67">
        <f t="shared" si="4"/>
        <v>26861.659615152807</v>
      </c>
      <c r="K15" s="68">
        <f t="shared" si="0"/>
        <v>248191.65961515281</v>
      </c>
    </row>
    <row r="16" spans="1:11" x14ac:dyDescent="0.25">
      <c r="A16" s="49" t="s">
        <v>6</v>
      </c>
      <c r="B16" s="71">
        <f>E53*$E$43</f>
        <v>2517.2400000000002</v>
      </c>
      <c r="C16" s="61">
        <f t="shared" si="1"/>
        <v>2760.4212970643757</v>
      </c>
      <c r="D16" s="62">
        <f>$K$5*$D$9/$C$72*C53</f>
        <v>3235.6180482794066</v>
      </c>
      <c r="E16" s="63">
        <f t="shared" si="2"/>
        <v>1505.2735050366805</v>
      </c>
      <c r="F16" s="63">
        <f t="shared" si="3"/>
        <v>600.86556029572375</v>
      </c>
      <c r="G16" s="72">
        <f t="shared" ref="G16:G20" si="8">C16+D16+E16+F16</f>
        <v>8102.1784106761879</v>
      </c>
      <c r="H16" s="69">
        <f>B16+G16</f>
        <v>10619.418410676188</v>
      </c>
      <c r="I16" s="66">
        <v>9389</v>
      </c>
      <c r="J16" s="70">
        <f t="shared" si="4"/>
        <v>1230.4184106761877</v>
      </c>
      <c r="K16" s="68">
        <f t="shared" si="0"/>
        <v>10619.418410676188</v>
      </c>
    </row>
    <row r="17" spans="1:11" x14ac:dyDescent="0.25">
      <c r="A17" s="49" t="s">
        <v>18</v>
      </c>
      <c r="B17" s="60">
        <f t="shared" si="5"/>
        <v>10160.496000000001</v>
      </c>
      <c r="C17" s="73">
        <f t="shared" si="1"/>
        <v>9762.7687025847245</v>
      </c>
      <c r="D17" s="74">
        <f t="shared" si="7"/>
        <v>2919.3894318632174</v>
      </c>
      <c r="E17" s="75">
        <f t="shared" si="2"/>
        <v>8999.6904723476546</v>
      </c>
      <c r="F17" s="75">
        <f t="shared" si="3"/>
        <v>4834.5952276126418</v>
      </c>
      <c r="G17" s="72">
        <f>C17+D17+E17+F17+1</f>
        <v>26517.443834408237</v>
      </c>
      <c r="H17" s="69">
        <f>B17+G17-1</f>
        <v>36676.939834408236</v>
      </c>
      <c r="I17" s="66">
        <v>33130</v>
      </c>
      <c r="J17" s="67">
        <f>SUM(H17-I17)</f>
        <v>3546.9398344082365</v>
      </c>
      <c r="K17" s="68">
        <f t="shared" si="0"/>
        <v>36676.939834408236</v>
      </c>
    </row>
    <row r="18" spans="1:11" x14ac:dyDescent="0.25">
      <c r="A18" s="49" t="s">
        <v>15</v>
      </c>
      <c r="B18" s="60">
        <f t="shared" si="5"/>
        <v>8924.76</v>
      </c>
      <c r="C18" s="61">
        <f t="shared" si="1"/>
        <v>5141.7662791334187</v>
      </c>
      <c r="D18" s="62">
        <f t="shared" si="7"/>
        <v>6283.003360101482</v>
      </c>
      <c r="E18" s="63">
        <f t="shared" si="2"/>
        <v>4163.3671388788225</v>
      </c>
      <c r="F18" s="63">
        <f t="shared" si="3"/>
        <v>926.19388466200826</v>
      </c>
      <c r="G18" s="64">
        <f t="shared" si="8"/>
        <v>16514.33066277573</v>
      </c>
      <c r="H18" s="69">
        <f t="shared" ref="H18:H33" si="9">B18+G18</f>
        <v>25439.090662775729</v>
      </c>
      <c r="I18" s="66">
        <v>22783</v>
      </c>
      <c r="J18" s="67">
        <f t="shared" si="4"/>
        <v>2656.0906627757286</v>
      </c>
      <c r="K18" s="68">
        <f t="shared" si="0"/>
        <v>25439.090662775729</v>
      </c>
    </row>
    <row r="19" spans="1:11" x14ac:dyDescent="0.25">
      <c r="A19" s="49" t="s">
        <v>13</v>
      </c>
      <c r="B19" s="60">
        <f t="shared" si="5"/>
        <v>0</v>
      </c>
      <c r="C19" s="73">
        <f t="shared" si="1"/>
        <v>1689.0646297660903</v>
      </c>
      <c r="D19" s="74">
        <f t="shared" si="7"/>
        <v>483.35085709029903</v>
      </c>
      <c r="E19" s="75">
        <f t="shared" si="2"/>
        <v>1706.0520107279683</v>
      </c>
      <c r="F19" s="75">
        <f t="shared" si="3"/>
        <v>1629.8922233288499</v>
      </c>
      <c r="G19" s="72">
        <f t="shared" si="8"/>
        <v>5508.3597209132076</v>
      </c>
      <c r="H19" s="65">
        <f t="shared" si="9"/>
        <v>5508.3597209132076</v>
      </c>
      <c r="I19" s="66">
        <v>4924</v>
      </c>
      <c r="J19" s="67">
        <f t="shared" si="4"/>
        <v>584.35972091320764</v>
      </c>
      <c r="K19" s="68">
        <f t="shared" si="0"/>
        <v>5508.3597209132076</v>
      </c>
    </row>
    <row r="20" spans="1:11" x14ac:dyDescent="0.25">
      <c r="A20" s="49" t="s">
        <v>20</v>
      </c>
      <c r="B20" s="60">
        <f t="shared" si="5"/>
        <v>12250.567999999999</v>
      </c>
      <c r="C20" s="61">
        <f>$K$5*$C$9/$B$72*B57</f>
        <v>14334.056199479264</v>
      </c>
      <c r="D20" s="62">
        <f t="shared" si="7"/>
        <v>3315.6559428907162</v>
      </c>
      <c r="E20" s="63">
        <f t="shared" si="2"/>
        <v>10596.807247679595</v>
      </c>
      <c r="F20" s="63">
        <f t="shared" si="3"/>
        <v>6721.390613786928</v>
      </c>
      <c r="G20" s="72">
        <f t="shared" si="8"/>
        <v>34967.9100038365</v>
      </c>
      <c r="H20" s="69">
        <f>B20+G20+1</f>
        <v>47219.478003836499</v>
      </c>
      <c r="I20" s="66">
        <v>42093</v>
      </c>
      <c r="J20" s="67">
        <f>SUM(H20-I20)</f>
        <v>5126.4780038364988</v>
      </c>
      <c r="K20" s="68">
        <f t="shared" si="0"/>
        <v>47219.478003836499</v>
      </c>
    </row>
    <row r="21" spans="1:11" x14ac:dyDescent="0.25">
      <c r="A21" s="49" t="s">
        <v>9</v>
      </c>
      <c r="B21" s="60">
        <f>E58*$E$43</f>
        <v>7216.0879999999997</v>
      </c>
      <c r="C21" s="73">
        <f t="shared" si="1"/>
        <v>3985.8942366886326</v>
      </c>
      <c r="D21" s="74">
        <f t="shared" si="7"/>
        <v>1760.3746497998995</v>
      </c>
      <c r="E21" s="75">
        <f t="shared" si="2"/>
        <v>2416.4421922671031</v>
      </c>
      <c r="F21" s="75">
        <f t="shared" si="3"/>
        <v>2105.0245177040792</v>
      </c>
      <c r="G21" s="72">
        <f>C21+D21+E21+F21-1</f>
        <v>10266.735596459715</v>
      </c>
      <c r="H21" s="69">
        <f>B21+G21</f>
        <v>17482.823596459715</v>
      </c>
      <c r="I21" s="66">
        <v>15474</v>
      </c>
      <c r="J21" s="67">
        <f>SUM(H21-I21)</f>
        <v>2008.8235964597152</v>
      </c>
      <c r="K21" s="68">
        <f t="shared" si="0"/>
        <v>17482.823596459715</v>
      </c>
    </row>
    <row r="22" spans="1:11" x14ac:dyDescent="0.25">
      <c r="A22" s="49" t="s">
        <v>3</v>
      </c>
      <c r="B22" s="60">
        <f t="shared" si="5"/>
        <v>1861.232</v>
      </c>
      <c r="C22" s="61">
        <f t="shared" si="1"/>
        <v>1716.4078393723112</v>
      </c>
      <c r="D22" s="62">
        <f t="shared" si="7"/>
        <v>963.36313821932379</v>
      </c>
      <c r="E22" s="63">
        <f t="shared" si="2"/>
        <v>1121.4945818460312</v>
      </c>
      <c r="F22" s="63">
        <f t="shared" si="3"/>
        <v>1316.7048955554571</v>
      </c>
      <c r="G22" s="64">
        <f>C22+D22+E22+F22-1</f>
        <v>5116.9704549931239</v>
      </c>
      <c r="H22" s="69">
        <f>B22+G22</f>
        <v>6978.2024549931239</v>
      </c>
      <c r="I22" s="66">
        <v>5996</v>
      </c>
      <c r="J22" s="67">
        <f t="shared" si="4"/>
        <v>982.20245499312387</v>
      </c>
      <c r="K22" s="68">
        <f t="shared" si="0"/>
        <v>6978.2024549931239</v>
      </c>
    </row>
    <row r="23" spans="1:11" x14ac:dyDescent="0.25">
      <c r="A23" s="49" t="s">
        <v>0</v>
      </c>
      <c r="B23" s="76">
        <f t="shared" si="5"/>
        <v>3691.9520000000002</v>
      </c>
      <c r="C23" s="61">
        <f t="shared" si="1"/>
        <v>2167.5707978749533</v>
      </c>
      <c r="D23" s="62">
        <f t="shared" si="7"/>
        <v>2387.6625910574476</v>
      </c>
      <c r="E23" s="63">
        <f t="shared" si="2"/>
        <v>2045.1995990780422</v>
      </c>
      <c r="F23" s="63">
        <f>$K$5*$F$9/$F$72*F60</f>
        <v>1954.1315961934963</v>
      </c>
      <c r="G23" s="64">
        <f>C23+D23+E23+F23</f>
        <v>8554.5645842039394</v>
      </c>
      <c r="H23" s="69">
        <f>B23+G23</f>
        <v>12246.516584203939</v>
      </c>
      <c r="I23" s="66">
        <v>10978</v>
      </c>
      <c r="J23" s="67">
        <f>SUM(H23-I23)</f>
        <v>1268.5165842039387</v>
      </c>
      <c r="K23" s="68">
        <f t="shared" si="0"/>
        <v>12246.516584203939</v>
      </c>
    </row>
    <row r="24" spans="1:11" x14ac:dyDescent="0.25">
      <c r="A24" s="49" t="s">
        <v>7</v>
      </c>
      <c r="B24" s="76">
        <f t="shared" si="5"/>
        <v>0</v>
      </c>
      <c r="C24" s="61">
        <f t="shared" si="1"/>
        <v>889.89718536609325</v>
      </c>
      <c r="D24" s="62">
        <f t="shared" si="7"/>
        <v>1382.9559422036946</v>
      </c>
      <c r="E24" s="63">
        <f t="shared" si="2"/>
        <v>1289.1780652375362</v>
      </c>
      <c r="F24" s="63">
        <f>$K$5*$F$9/$F$72*F61</f>
        <v>3549.3561545522825</v>
      </c>
      <c r="G24" s="64">
        <f>C24+D24+E24+F24</f>
        <v>7111.3873473596068</v>
      </c>
      <c r="H24" s="69">
        <f t="shared" si="9"/>
        <v>7111.3873473596068</v>
      </c>
      <c r="I24" s="66">
        <v>6409</v>
      </c>
      <c r="J24" s="67">
        <f t="shared" si="4"/>
        <v>702.38734735960679</v>
      </c>
      <c r="K24" s="68">
        <f t="shared" si="0"/>
        <v>7111.3873473596068</v>
      </c>
    </row>
    <row r="25" spans="1:11" x14ac:dyDescent="0.25">
      <c r="A25" s="49" t="s">
        <v>12</v>
      </c>
      <c r="B25" s="76">
        <f>E62*$E$43</f>
        <v>2212.12</v>
      </c>
      <c r="C25" s="61">
        <f t="shared" si="1"/>
        <v>1528.7339916205233</v>
      </c>
      <c r="D25" s="62">
        <f t="shared" si="7"/>
        <v>1546.6507766269067</v>
      </c>
      <c r="E25" s="63">
        <f t="shared" si="2"/>
        <v>889.1710809191942</v>
      </c>
      <c r="F25" s="63">
        <f>$K$5*$F$9/$F$72*F62</f>
        <v>1801.6946389716352</v>
      </c>
      <c r="G25" s="64">
        <f>C25+D25+E25+F25+1</f>
        <v>5767.2504881382592</v>
      </c>
      <c r="H25" s="69">
        <f>B25+G25</f>
        <v>7979.3704881382591</v>
      </c>
      <c r="I25" s="66">
        <v>7068</v>
      </c>
      <c r="J25" s="98">
        <f t="shared" si="4"/>
        <v>911.37048813825913</v>
      </c>
      <c r="K25" s="68">
        <f t="shared" si="0"/>
        <v>7979.3704881382591</v>
      </c>
    </row>
    <row r="26" spans="1:11" x14ac:dyDescent="0.25">
      <c r="A26" s="49" t="s">
        <v>5</v>
      </c>
      <c r="B26" s="76">
        <f t="shared" si="5"/>
        <v>5751.5119999999997</v>
      </c>
      <c r="C26" s="61">
        <f t="shared" si="1"/>
        <v>4228.2545036528618</v>
      </c>
      <c r="D26" s="62">
        <f t="shared" si="7"/>
        <v>1303.8347581446906</v>
      </c>
      <c r="E26" s="63">
        <f t="shared" si="2"/>
        <v>3444.9907067847198</v>
      </c>
      <c r="F26" s="63">
        <f t="shared" ref="F26:F34" si="10">$K$5*$F$9/$F$72*F63</f>
        <v>1725.7037024655247</v>
      </c>
      <c r="G26" s="64">
        <f>C26+D26+E26+F26</f>
        <v>10702.783671047797</v>
      </c>
      <c r="H26" s="69">
        <f>B26+G26+1</f>
        <v>16455.295671047796</v>
      </c>
      <c r="I26" s="66">
        <v>14614</v>
      </c>
      <c r="J26" s="67">
        <f t="shared" si="4"/>
        <v>1841.2956710477956</v>
      </c>
      <c r="K26" s="68">
        <f t="shared" si="0"/>
        <v>16455.295671047796</v>
      </c>
    </row>
    <row r="27" spans="1:11" x14ac:dyDescent="0.25">
      <c r="A27" s="50" t="s">
        <v>27</v>
      </c>
      <c r="B27" s="76">
        <f t="shared" si="5"/>
        <v>8695.92</v>
      </c>
      <c r="C27" s="61">
        <f t="shared" si="1"/>
        <v>7907.1590688534707</v>
      </c>
      <c r="D27" s="62">
        <f>$K$5*$D$9/$C$72*C64</f>
        <v>7513.8534388139879</v>
      </c>
      <c r="E27" s="63">
        <f t="shared" si="2"/>
        <v>8984.8596578387951</v>
      </c>
      <c r="F27" s="63">
        <f t="shared" si="10"/>
        <v>5971.6231253977958</v>
      </c>
      <c r="G27" s="64">
        <f>C27+D27+E27+F27+1</f>
        <v>30378.495290904051</v>
      </c>
      <c r="H27" s="69">
        <f>B27+G27</f>
        <v>39074.415290904049</v>
      </c>
      <c r="I27" s="66">
        <v>34711</v>
      </c>
      <c r="J27" s="67">
        <f t="shared" si="4"/>
        <v>4363.4152909040495</v>
      </c>
      <c r="K27" s="68">
        <f t="shared" si="0"/>
        <v>39074.415290904049</v>
      </c>
    </row>
    <row r="28" spans="1:11" x14ac:dyDescent="0.25">
      <c r="A28" s="49" t="s">
        <v>2</v>
      </c>
      <c r="B28" s="76">
        <f t="shared" si="5"/>
        <v>5293.8320000000003</v>
      </c>
      <c r="C28" s="61">
        <f t="shared" si="1"/>
        <v>3424.1155665971883</v>
      </c>
      <c r="D28" s="62">
        <f t="shared" si="7"/>
        <v>2970.6363925027063</v>
      </c>
      <c r="E28" s="63">
        <f t="shared" si="2"/>
        <v>1901.6582038859174</v>
      </c>
      <c r="F28" s="63">
        <f t="shared" si="10"/>
        <v>863.0184445595055</v>
      </c>
      <c r="G28" s="64">
        <f>C28+D28+E28+F28+1</f>
        <v>9160.4286075453183</v>
      </c>
      <c r="H28" s="69">
        <f>B28+G28</f>
        <v>14454.260607545319</v>
      </c>
      <c r="I28" s="66">
        <v>12793</v>
      </c>
      <c r="J28" s="67">
        <f t="shared" si="4"/>
        <v>1661.2606075453186</v>
      </c>
      <c r="K28" s="68">
        <f t="shared" si="0"/>
        <v>14454.260607545319</v>
      </c>
    </row>
    <row r="29" spans="1:11" x14ac:dyDescent="0.25">
      <c r="A29" s="49" t="s">
        <v>4</v>
      </c>
      <c r="B29" s="76">
        <f t="shared" si="5"/>
        <v>381.4</v>
      </c>
      <c r="C29" s="61">
        <f t="shared" si="1"/>
        <v>1457.8902212771332</v>
      </c>
      <c r="D29" s="62">
        <f t="shared" si="7"/>
        <v>1815.7515425341094</v>
      </c>
      <c r="E29" s="63">
        <f t="shared" si="2"/>
        <v>1488.698215623989</v>
      </c>
      <c r="F29" s="63">
        <f>$K$5*$F$9/$F$72*F66-1</f>
        <v>1446.5172263156819</v>
      </c>
      <c r="G29" s="64">
        <f>C29+D29+E29+F29+1</f>
        <v>6209.8572057509136</v>
      </c>
      <c r="H29" s="69">
        <f t="shared" si="9"/>
        <v>6591.2572057509133</v>
      </c>
      <c r="I29" s="66">
        <v>5647</v>
      </c>
      <c r="J29" s="67">
        <f>SUM(H29-I29)</f>
        <v>944.25720575091327</v>
      </c>
      <c r="K29" s="68">
        <f t="shared" si="0"/>
        <v>6591.2572057509133</v>
      </c>
    </row>
    <row r="30" spans="1:11" x14ac:dyDescent="0.25">
      <c r="A30" s="49" t="s">
        <v>21</v>
      </c>
      <c r="B30" s="76">
        <f>E67*$E$43</f>
        <v>7841.5839999999998</v>
      </c>
      <c r="C30" s="61">
        <f t="shared" si="1"/>
        <v>6265.3236193163075</v>
      </c>
      <c r="D30" s="62">
        <f t="shared" si="7"/>
        <v>7777.8710379449285</v>
      </c>
      <c r="E30" s="63">
        <f>$K$5*$E$9/$D$72*D67</f>
        <v>4443.6887000975803</v>
      </c>
      <c r="F30" s="63">
        <f t="shared" si="10"/>
        <v>2238.5429742109127</v>
      </c>
      <c r="G30" s="64">
        <f>C30+D30+E30+F30+1</f>
        <v>20726.426331569728</v>
      </c>
      <c r="H30" s="69">
        <f>B30+G30</f>
        <v>28568.010331569727</v>
      </c>
      <c r="I30" s="66">
        <v>25479</v>
      </c>
      <c r="J30" s="67">
        <f t="shared" si="4"/>
        <v>3089.010331569727</v>
      </c>
      <c r="K30" s="68">
        <f t="shared" si="0"/>
        <v>28568.010331569727</v>
      </c>
    </row>
    <row r="31" spans="1:11" x14ac:dyDescent="0.25">
      <c r="A31" s="49" t="s">
        <v>1</v>
      </c>
      <c r="B31" s="76">
        <f t="shared" si="5"/>
        <v>7078.7839999999997</v>
      </c>
      <c r="C31" s="61">
        <f>$K$5*$C$9/$B$72*B68</f>
        <v>4773.8758226133577</v>
      </c>
      <c r="D31" s="62">
        <f t="shared" si="7"/>
        <v>4153.1591863387239</v>
      </c>
      <c r="E31" s="63">
        <f t="shared" si="2"/>
        <v>4341.4980269093639</v>
      </c>
      <c r="F31" s="63">
        <f t="shared" si="10"/>
        <v>3934.4711669600015</v>
      </c>
      <c r="G31" s="64">
        <f>C31+D31+E31+F31-1</f>
        <v>17202.004202821445</v>
      </c>
      <c r="H31" s="69">
        <f>B31+G31</f>
        <v>24280.788202821444</v>
      </c>
      <c r="I31" s="66">
        <v>21424</v>
      </c>
      <c r="J31" s="67">
        <f>SUM(H31-I31)</f>
        <v>2856.7882028214444</v>
      </c>
      <c r="K31" s="68">
        <f t="shared" si="0"/>
        <v>24280.788202821444</v>
      </c>
    </row>
    <row r="32" spans="1:11" x14ac:dyDescent="0.25">
      <c r="A32" s="49" t="s">
        <v>16</v>
      </c>
      <c r="B32" s="60">
        <f t="shared" si="5"/>
        <v>8116.192</v>
      </c>
      <c r="C32" s="73">
        <f t="shared" si="1"/>
        <v>5402.7696435564349</v>
      </c>
      <c r="D32" s="74">
        <f t="shared" si="7"/>
        <v>5241.1868431984431</v>
      </c>
      <c r="E32" s="75">
        <f t="shared" si="2"/>
        <v>6554.2394402386317</v>
      </c>
      <c r="F32" s="75">
        <f>$K$5*$F$9/$F$72*F69-1</f>
        <v>3787.8360933715076</v>
      </c>
      <c r="G32" s="77">
        <f>C32+D32+E32+F32</f>
        <v>20986.032020365019</v>
      </c>
      <c r="H32" s="65">
        <f>B32+G32</f>
        <v>29102.224020365018</v>
      </c>
      <c r="I32" s="66">
        <v>25755</v>
      </c>
      <c r="J32" s="67">
        <f>SUM(H32-I32)</f>
        <v>3347.2240203650181</v>
      </c>
      <c r="K32" s="68">
        <f t="shared" si="0"/>
        <v>29102.224020365018</v>
      </c>
    </row>
    <row r="33" spans="1:11" x14ac:dyDescent="0.25">
      <c r="A33" s="49" t="s">
        <v>17</v>
      </c>
      <c r="B33" s="60">
        <f t="shared" si="5"/>
        <v>0</v>
      </c>
      <c r="C33" s="73">
        <f t="shared" si="1"/>
        <v>2390.0450942164766</v>
      </c>
      <c r="D33" s="74">
        <f>$K$5*$D$9/$C$72*C70</f>
        <v>1271.831955375982</v>
      </c>
      <c r="E33" s="75">
        <f t="shared" si="2"/>
        <v>2481.687775931473</v>
      </c>
      <c r="F33" s="75">
        <f t="shared" si="10"/>
        <v>1044.743321273188</v>
      </c>
      <c r="G33" s="77">
        <f>C33+D33+E33+F33+1</f>
        <v>7189.3081467971206</v>
      </c>
      <c r="H33" s="65">
        <f t="shared" si="9"/>
        <v>7189.3081467971206</v>
      </c>
      <c r="I33" s="66">
        <v>6516</v>
      </c>
      <c r="J33" s="67">
        <f t="shared" si="4"/>
        <v>673.30814679712057</v>
      </c>
      <c r="K33" s="68">
        <f t="shared" si="0"/>
        <v>7189.3081467971206</v>
      </c>
    </row>
    <row r="34" spans="1:11" ht="15.75" thickBot="1" x14ac:dyDescent="0.3">
      <c r="A34" s="51" t="s">
        <v>10</v>
      </c>
      <c r="B34" s="78">
        <f t="shared" si="5"/>
        <v>640.75199999999995</v>
      </c>
      <c r="C34" s="79">
        <f>$K$5*$C$9/$B$72*B71</f>
        <v>1870.5241116982825</v>
      </c>
      <c r="D34" s="80">
        <f>$K$5*$D$9/$C$72*C71</f>
        <v>2181.2376818343664</v>
      </c>
      <c r="E34" s="81">
        <f t="shared" si="2"/>
        <v>1041.7987458731616</v>
      </c>
      <c r="F34" s="81">
        <f t="shared" si="10"/>
        <v>359.40275456306796</v>
      </c>
      <c r="G34" s="82">
        <f>C34+D34+E34+F34</f>
        <v>5452.9632939688781</v>
      </c>
      <c r="H34" s="83">
        <f>B34+G34</f>
        <v>6093.7152939688785</v>
      </c>
      <c r="I34" s="84">
        <v>5414</v>
      </c>
      <c r="J34" s="85">
        <f>SUM(H34-I34)</f>
        <v>679.71529396887854</v>
      </c>
      <c r="K34" s="86">
        <f>H34</f>
        <v>6093.7152939688785</v>
      </c>
    </row>
    <row r="35" spans="1:11" ht="16.5" thickTop="1" thickBot="1" x14ac:dyDescent="0.3">
      <c r="A35" s="47" t="s">
        <v>44</v>
      </c>
      <c r="B35" s="122">
        <f>E72*$E$43</f>
        <v>453209.99200000003</v>
      </c>
      <c r="C35" s="87">
        <f>$K$5*$C$9/$B$72*B72+1</f>
        <v>354197.48</v>
      </c>
      <c r="D35" s="88">
        <f>$K$5*$D$9/$C$72*C72</f>
        <v>96599.039999999994</v>
      </c>
      <c r="E35" s="89">
        <f t="shared" si="2"/>
        <v>201248</v>
      </c>
      <c r="F35" s="89">
        <f>$K$5*$F$9/$F$72*F72</f>
        <v>152948.48000000001</v>
      </c>
      <c r="G35" s="90">
        <f>SUM(G12:G34)-2</f>
        <v>804992</v>
      </c>
      <c r="H35" s="91">
        <f>SUM(H12:H34)-2</f>
        <v>1258201.9919999999</v>
      </c>
      <c r="I35" s="92">
        <f>SUM(I12:I34)</f>
        <v>1123273</v>
      </c>
      <c r="J35" s="93">
        <f>SUM(J12:J34)-2</f>
        <v>134928.99199999997</v>
      </c>
      <c r="K35" s="94">
        <f>SUM(K12:K34)-2</f>
        <v>1258201.9919999999</v>
      </c>
    </row>
    <row r="36" spans="1:11" x14ac:dyDescent="0.25">
      <c r="B36" s="6"/>
      <c r="C36" s="7"/>
      <c r="D36" s="7"/>
      <c r="E36" s="7"/>
    </row>
    <row r="37" spans="1:11" x14ac:dyDescent="0.25">
      <c r="A37" s="23"/>
      <c r="B37" s="147" t="s">
        <v>61</v>
      </c>
      <c r="C37" s="148"/>
      <c r="D37" s="149"/>
      <c r="E37" s="149"/>
      <c r="F37" s="18"/>
      <c r="G37" s="21">
        <f>1264609-1258202</f>
        <v>6407</v>
      </c>
      <c r="H37" s="22" t="s">
        <v>33</v>
      </c>
    </row>
    <row r="38" spans="1:11" x14ac:dyDescent="0.25">
      <c r="A38" s="23"/>
      <c r="B38" s="21"/>
      <c r="C38" s="22"/>
      <c r="D38" s="22"/>
      <c r="E38" s="22"/>
      <c r="F38" s="9"/>
      <c r="H38" s="146"/>
      <c r="I38" s="9"/>
      <c r="K38" s="9"/>
    </row>
    <row r="39" spans="1:11" x14ac:dyDescent="0.25">
      <c r="A39" s="23"/>
      <c r="B39" s="9"/>
      <c r="G39" s="9"/>
      <c r="I39" s="141"/>
      <c r="K39" s="9"/>
    </row>
    <row r="40" spans="1:11" x14ac:dyDescent="0.25">
      <c r="B40" s="9"/>
    </row>
    <row r="41" spans="1:11" x14ac:dyDescent="0.25">
      <c r="G41" s="9"/>
      <c r="I41" s="9"/>
      <c r="J41" s="9"/>
    </row>
    <row r="43" spans="1:11" ht="15.75" x14ac:dyDescent="0.25">
      <c r="A43" s="1"/>
      <c r="B43" s="1"/>
      <c r="C43" s="219" t="s">
        <v>35</v>
      </c>
      <c r="D43" s="220"/>
      <c r="E43" s="96">
        <v>15.256</v>
      </c>
      <c r="F43" s="2" t="s">
        <v>33</v>
      </c>
      <c r="G43" t="s">
        <v>50</v>
      </c>
      <c r="I43" s="5"/>
    </row>
    <row r="45" spans="1:11" ht="15.75" thickBot="1" x14ac:dyDescent="0.3"/>
    <row r="46" spans="1:11" x14ac:dyDescent="0.25">
      <c r="A46" s="221" t="s">
        <v>24</v>
      </c>
      <c r="B46" s="224" t="s">
        <v>81</v>
      </c>
      <c r="C46" s="227" t="s">
        <v>42</v>
      </c>
      <c r="D46" s="227" t="s">
        <v>40</v>
      </c>
      <c r="E46" s="227" t="s">
        <v>36</v>
      </c>
      <c r="F46" s="209" t="s">
        <v>41</v>
      </c>
      <c r="G46" s="212" t="s">
        <v>59</v>
      </c>
    </row>
    <row r="47" spans="1:11" x14ac:dyDescent="0.25">
      <c r="A47" s="222"/>
      <c r="B47" s="225"/>
      <c r="C47" s="228"/>
      <c r="D47" s="228"/>
      <c r="E47" s="228"/>
      <c r="F47" s="210"/>
      <c r="G47" s="212"/>
      <c r="H47" s="17"/>
    </row>
    <row r="48" spans="1:11" ht="15.75" thickBot="1" x14ac:dyDescent="0.3">
      <c r="A48" s="223"/>
      <c r="B48" s="226"/>
      <c r="C48" s="229"/>
      <c r="D48" s="229"/>
      <c r="E48" s="229"/>
      <c r="F48" s="211"/>
      <c r="G48" s="212"/>
      <c r="I48" s="22"/>
    </row>
    <row r="49" spans="1:11" ht="15.75" thickTop="1" x14ac:dyDescent="0.25">
      <c r="A49" s="10" t="s">
        <v>25</v>
      </c>
      <c r="B49" s="13">
        <v>37037</v>
      </c>
      <c r="C49" s="134">
        <v>1324.2337</v>
      </c>
      <c r="D49" s="124">
        <v>1074867.2</v>
      </c>
      <c r="E49" s="4">
        <v>4607</v>
      </c>
      <c r="F49" s="16">
        <v>2274213</v>
      </c>
      <c r="G49" s="24">
        <f>36684+(2362/11126)*1662</f>
        <v>37036.835160884417</v>
      </c>
      <c r="I49" s="128"/>
      <c r="J49" s="128"/>
    </row>
    <row r="50" spans="1:11" x14ac:dyDescent="0.25">
      <c r="A50" s="11" t="s">
        <v>14</v>
      </c>
      <c r="B50" s="14">
        <v>20745</v>
      </c>
      <c r="C50" s="135">
        <v>4174.0290999999997</v>
      </c>
      <c r="D50" s="125">
        <v>842948.9</v>
      </c>
      <c r="E50" s="3">
        <v>1755</v>
      </c>
      <c r="F50" s="8">
        <v>2391174</v>
      </c>
      <c r="G50" s="24">
        <f>20588+(1049/11126)*1662</f>
        <v>20744.699442746718</v>
      </c>
      <c r="I50" s="128"/>
      <c r="J50" s="128"/>
    </row>
    <row r="51" spans="1:11" x14ac:dyDescent="0.25">
      <c r="A51" s="11" t="s">
        <v>8</v>
      </c>
      <c r="B51" s="14">
        <v>99326</v>
      </c>
      <c r="C51" s="135">
        <v>1631.4538</v>
      </c>
      <c r="D51" s="125">
        <v>1803533.3</v>
      </c>
      <c r="E51" s="3">
        <v>10175</v>
      </c>
      <c r="F51" s="8">
        <v>4916604</v>
      </c>
      <c r="G51" s="24">
        <f>98794+(3564/11126)*1662</f>
        <v>99326.389717778176</v>
      </c>
      <c r="I51" s="128"/>
      <c r="J51" s="128"/>
      <c r="K51" s="101"/>
    </row>
    <row r="52" spans="1:11" x14ac:dyDescent="0.25">
      <c r="A52" s="11" t="s">
        <v>11</v>
      </c>
      <c r="B52" s="14">
        <v>62142</v>
      </c>
      <c r="C52" s="135">
        <v>1317.9149</v>
      </c>
      <c r="D52" s="125">
        <v>1024527.1</v>
      </c>
      <c r="E52" s="3">
        <v>7098</v>
      </c>
      <c r="F52" s="8">
        <v>3478333</v>
      </c>
      <c r="G52" s="24">
        <f>61884+(1730/11126)*1662</f>
        <v>62142.427107675714</v>
      </c>
      <c r="I52" s="128"/>
      <c r="J52" s="128"/>
      <c r="K52" s="103"/>
    </row>
    <row r="53" spans="1:11" x14ac:dyDescent="0.25">
      <c r="A53" s="11" t="s">
        <v>6</v>
      </c>
      <c r="B53" s="14">
        <v>2221</v>
      </c>
      <c r="C53" s="135">
        <v>717.56690000000003</v>
      </c>
      <c r="D53" s="125">
        <v>54188.9</v>
      </c>
      <c r="E53" s="3">
        <v>165</v>
      </c>
      <c r="F53" s="8">
        <v>73939</v>
      </c>
      <c r="G53" s="24">
        <f>2214+(45/11126)*1662</f>
        <v>2220.7220923961891</v>
      </c>
      <c r="I53" s="128"/>
      <c r="J53" s="128"/>
      <c r="K53" s="103"/>
    </row>
    <row r="54" spans="1:11" x14ac:dyDescent="0.25">
      <c r="A54" s="11" t="s">
        <v>18</v>
      </c>
      <c r="B54" s="14">
        <v>7855</v>
      </c>
      <c r="C54" s="135">
        <v>647.43650000000002</v>
      </c>
      <c r="D54" s="125">
        <v>323983.2</v>
      </c>
      <c r="E54" s="3">
        <v>666</v>
      </c>
      <c r="F54" s="8">
        <v>594917</v>
      </c>
      <c r="G54" s="24">
        <f>7723+(883/11126)*1662</f>
        <v>7854.9023907963328</v>
      </c>
      <c r="I54" s="128"/>
      <c r="J54" s="128"/>
      <c r="K54" s="103"/>
    </row>
    <row r="55" spans="1:11" x14ac:dyDescent="0.25">
      <c r="A55" s="11" t="s">
        <v>15</v>
      </c>
      <c r="B55" s="14">
        <v>4137</v>
      </c>
      <c r="C55" s="135">
        <v>1393.3892000000001</v>
      </c>
      <c r="D55" s="125">
        <v>149878.6</v>
      </c>
      <c r="E55" s="3">
        <v>585</v>
      </c>
      <c r="F55" s="8">
        <v>113972</v>
      </c>
      <c r="G55" s="24">
        <f>4129+(54/11126)*1662</f>
        <v>4137.0665108754265</v>
      </c>
      <c r="I55" s="128"/>
      <c r="J55" s="128"/>
      <c r="K55" s="103"/>
    </row>
    <row r="56" spans="1:11" x14ac:dyDescent="0.25">
      <c r="A56" s="11" t="s">
        <v>13</v>
      </c>
      <c r="B56" s="14">
        <v>1359</v>
      </c>
      <c r="C56" s="135">
        <v>107.19329999999999</v>
      </c>
      <c r="D56" s="125">
        <v>61416.800000000003</v>
      </c>
      <c r="E56" s="3">
        <v>0</v>
      </c>
      <c r="F56" s="8">
        <v>200565</v>
      </c>
      <c r="G56" s="24">
        <f>1356+(18/11126)*1662</f>
        <v>1358.6888369584756</v>
      </c>
      <c r="I56" s="128"/>
      <c r="J56" s="128"/>
      <c r="K56" s="103"/>
    </row>
    <row r="57" spans="1:11" x14ac:dyDescent="0.25">
      <c r="A57" s="11" t="s">
        <v>26</v>
      </c>
      <c r="B57" s="14">
        <v>11533</v>
      </c>
      <c r="C57" s="135">
        <v>735.31700000000001</v>
      </c>
      <c r="D57" s="125">
        <v>381478.40000000002</v>
      </c>
      <c r="E57" s="3">
        <v>803</v>
      </c>
      <c r="F57" s="8">
        <v>827095</v>
      </c>
      <c r="G57" s="24">
        <f>11442+(609/11126)*1662</f>
        <v>11532.972317095093</v>
      </c>
      <c r="I57" s="128"/>
      <c r="J57" s="128"/>
      <c r="K57" s="103"/>
    </row>
    <row r="58" spans="1:11" x14ac:dyDescent="0.25">
      <c r="A58" s="11" t="s">
        <v>9</v>
      </c>
      <c r="B58" s="14">
        <v>3207</v>
      </c>
      <c r="C58" s="135">
        <v>390.40039999999999</v>
      </c>
      <c r="D58" s="125">
        <v>86990.399999999994</v>
      </c>
      <c r="E58" s="3">
        <v>473</v>
      </c>
      <c r="F58" s="8">
        <v>259032</v>
      </c>
      <c r="G58" s="24">
        <f>3201+(41/11126)*1662</f>
        <v>3207.1245730720834</v>
      </c>
      <c r="I58" s="128"/>
      <c r="J58" s="128"/>
      <c r="K58" s="103"/>
    </row>
    <row r="59" spans="1:11" x14ac:dyDescent="0.25">
      <c r="A59" s="11" t="s">
        <v>3</v>
      </c>
      <c r="B59" s="14">
        <v>1381</v>
      </c>
      <c r="C59" s="135">
        <v>213.64619999999999</v>
      </c>
      <c r="D59" s="125">
        <v>40373.1</v>
      </c>
      <c r="E59" s="3">
        <v>122</v>
      </c>
      <c r="F59" s="8">
        <v>162026</v>
      </c>
      <c r="G59" s="24">
        <f>1379+(13/11126)*1662</f>
        <v>1380.9419378033435</v>
      </c>
      <c r="I59" s="128"/>
      <c r="J59" s="128"/>
      <c r="K59" s="103"/>
    </row>
    <row r="60" spans="1:11" x14ac:dyDescent="0.25">
      <c r="A60" s="11" t="s">
        <v>0</v>
      </c>
      <c r="B60" s="14">
        <v>1744</v>
      </c>
      <c r="C60" s="135">
        <v>529.51480000000004</v>
      </c>
      <c r="D60" s="125">
        <v>73625.899999999994</v>
      </c>
      <c r="E60" s="3">
        <v>242</v>
      </c>
      <c r="F60" s="8">
        <v>240464</v>
      </c>
      <c r="G60" s="24">
        <f>1740+(24/11126)*1662</f>
        <v>1743.5851159446343</v>
      </c>
      <c r="I60" s="128"/>
      <c r="J60" s="128"/>
      <c r="K60" s="103"/>
    </row>
    <row r="61" spans="1:11" x14ac:dyDescent="0.25">
      <c r="A61" s="11" t="s">
        <v>7</v>
      </c>
      <c r="B61" s="14">
        <v>716</v>
      </c>
      <c r="C61" s="136">
        <v>306.69979999999998</v>
      </c>
      <c r="D61" s="125">
        <v>46409.599999999999</v>
      </c>
      <c r="E61" s="3">
        <v>0</v>
      </c>
      <c r="F61" s="8">
        <v>436763</v>
      </c>
      <c r="G61" s="24">
        <f>713+(20/11126)*1662</f>
        <v>715.98759662052851</v>
      </c>
      <c r="I61" s="128"/>
      <c r="J61" s="128"/>
      <c r="K61" s="103"/>
    </row>
    <row r="62" spans="1:11" x14ac:dyDescent="0.25">
      <c r="A62" s="11" t="s">
        <v>12</v>
      </c>
      <c r="B62" s="14">
        <v>1230</v>
      </c>
      <c r="C62" s="135">
        <v>343.00259999999997</v>
      </c>
      <c r="D62" s="125">
        <v>32009.599999999999</v>
      </c>
      <c r="E62" s="3">
        <v>145</v>
      </c>
      <c r="F62" s="8">
        <v>221706</v>
      </c>
      <c r="G62" s="24">
        <f>1225+(34/11126)*1662</f>
        <v>1230.0789142548983</v>
      </c>
      <c r="I62" s="128"/>
      <c r="J62" s="128"/>
      <c r="K62" s="103"/>
    </row>
    <row r="63" spans="1:11" x14ac:dyDescent="0.25">
      <c r="A63" s="11" t="s">
        <v>5</v>
      </c>
      <c r="B63" s="14">
        <v>3402</v>
      </c>
      <c r="C63" s="135">
        <v>289.15300000000002</v>
      </c>
      <c r="D63" s="125">
        <v>124017.5</v>
      </c>
      <c r="E63" s="3">
        <v>377</v>
      </c>
      <c r="F63" s="8">
        <v>212355</v>
      </c>
      <c r="G63" s="24">
        <f>3391+(74/11126)*1662</f>
        <v>3402.0541074959556</v>
      </c>
      <c r="I63" s="128"/>
      <c r="J63" s="128"/>
      <c r="K63" s="103"/>
    </row>
    <row r="64" spans="1:11" x14ac:dyDescent="0.25">
      <c r="A64" s="12" t="s">
        <v>27</v>
      </c>
      <c r="B64" s="14">
        <v>6362</v>
      </c>
      <c r="C64" s="135">
        <v>1666.3562999999999</v>
      </c>
      <c r="D64" s="125">
        <v>323449.3</v>
      </c>
      <c r="E64" s="3">
        <v>570</v>
      </c>
      <c r="F64" s="8">
        <v>734833</v>
      </c>
      <c r="G64" s="24">
        <f>6331+(207/11126)*1662</f>
        <v>6361.9216250224699</v>
      </c>
      <c r="I64" s="128"/>
      <c r="J64" s="128"/>
      <c r="K64" s="103"/>
    </row>
    <row r="65" spans="1:11" x14ac:dyDescent="0.25">
      <c r="A65" s="11" t="s">
        <v>2</v>
      </c>
      <c r="B65" s="14">
        <v>2755</v>
      </c>
      <c r="C65" s="135">
        <v>658.80160000000001</v>
      </c>
      <c r="D65" s="125">
        <v>68458.5</v>
      </c>
      <c r="E65" s="3">
        <v>347</v>
      </c>
      <c r="F65" s="8">
        <v>106198</v>
      </c>
      <c r="G65" s="24">
        <f>2752+(22/11126)*1662</f>
        <v>2755.2863562825814</v>
      </c>
      <c r="I65" s="128"/>
      <c r="J65" s="128"/>
      <c r="K65" s="103"/>
    </row>
    <row r="66" spans="1:11" x14ac:dyDescent="0.25">
      <c r="A66" s="11" t="s">
        <v>4</v>
      </c>
      <c r="B66" s="14">
        <v>1173</v>
      </c>
      <c r="C66" s="135">
        <v>402.6814</v>
      </c>
      <c r="D66" s="125">
        <v>53592.2</v>
      </c>
      <c r="E66" s="3">
        <v>25</v>
      </c>
      <c r="F66" s="8">
        <v>178123</v>
      </c>
      <c r="G66" s="24">
        <f>1167+(41/11126)*1662</f>
        <v>1173.1245730720834</v>
      </c>
      <c r="I66" s="128"/>
      <c r="J66" s="128"/>
      <c r="K66" s="103"/>
    </row>
    <row r="67" spans="1:11" x14ac:dyDescent="0.25">
      <c r="A67" s="11" t="s">
        <v>28</v>
      </c>
      <c r="B67" s="14">
        <v>5041</v>
      </c>
      <c r="C67" s="135">
        <v>1724.9078</v>
      </c>
      <c r="D67" s="125">
        <v>159970</v>
      </c>
      <c r="E67" s="3">
        <v>514</v>
      </c>
      <c r="F67" s="8">
        <v>275462</v>
      </c>
      <c r="G67" s="24">
        <f>5032+(63/11126)*1662</f>
        <v>5041.4109293546644</v>
      </c>
      <c r="I67" s="128"/>
      <c r="J67" s="128"/>
      <c r="K67" s="103"/>
    </row>
    <row r="68" spans="1:11" x14ac:dyDescent="0.25">
      <c r="A68" s="11" t="s">
        <v>1</v>
      </c>
      <c r="B68" s="14">
        <v>3841</v>
      </c>
      <c r="C68" s="135">
        <v>921.05110000000002</v>
      </c>
      <c r="D68" s="125">
        <v>156291.20000000001</v>
      </c>
      <c r="E68" s="3">
        <v>464</v>
      </c>
      <c r="F68" s="8">
        <v>484153</v>
      </c>
      <c r="G68" s="24">
        <f>3829+(82/11126)*1662</f>
        <v>3841.2491461441668</v>
      </c>
      <c r="I68" s="128"/>
      <c r="J68" s="128"/>
      <c r="K68" s="103"/>
    </row>
    <row r="69" spans="1:11" x14ac:dyDescent="0.25">
      <c r="A69" s="11" t="s">
        <v>16</v>
      </c>
      <c r="B69" s="14">
        <v>4347</v>
      </c>
      <c r="C69" s="135">
        <v>1162.3443</v>
      </c>
      <c r="D69" s="125">
        <v>235948.5</v>
      </c>
      <c r="E69" s="3">
        <v>532</v>
      </c>
      <c r="F69" s="8">
        <v>466232</v>
      </c>
      <c r="G69" s="24">
        <f>4325+(146/11126)*1662</f>
        <v>4346.8094553298579</v>
      </c>
      <c r="I69" s="128"/>
      <c r="J69" s="128"/>
      <c r="K69" s="103"/>
    </row>
    <row r="70" spans="1:11" x14ac:dyDescent="0.25">
      <c r="A70" s="11" t="s">
        <v>17</v>
      </c>
      <c r="B70" s="14">
        <v>1923</v>
      </c>
      <c r="C70" s="135">
        <v>282.0557</v>
      </c>
      <c r="D70" s="125">
        <v>89339.199999999997</v>
      </c>
      <c r="E70" s="3">
        <v>0</v>
      </c>
      <c r="F70" s="8">
        <v>128560</v>
      </c>
      <c r="G70" s="24">
        <f>1920+(22/11126)*1662</f>
        <v>1923.2863562825814</v>
      </c>
      <c r="I70" s="128"/>
      <c r="J70" s="128"/>
      <c r="K70" s="103"/>
    </row>
    <row r="71" spans="1:11" ht="15.75" thickBot="1" x14ac:dyDescent="0.3">
      <c r="A71" s="112" t="s">
        <v>10</v>
      </c>
      <c r="B71" s="113">
        <v>1505</v>
      </c>
      <c r="C71" s="137">
        <v>483.73570000000001</v>
      </c>
      <c r="D71" s="126">
        <v>37504.1</v>
      </c>
      <c r="E71" s="114">
        <v>42</v>
      </c>
      <c r="F71" s="115">
        <v>44226</v>
      </c>
      <c r="G71" s="24">
        <f>1501+(23/11126)*1662</f>
        <v>1504.4357361136078</v>
      </c>
      <c r="I71" s="128"/>
      <c r="J71" s="128"/>
      <c r="K71" s="103"/>
    </row>
    <row r="72" spans="1:11" ht="15.75" thickBot="1" x14ac:dyDescent="0.3">
      <c r="A72" s="116" t="s">
        <v>29</v>
      </c>
      <c r="B72" s="117">
        <f t="shared" ref="B72:D72" si="11">SUM(B49:B71)</f>
        <v>284982</v>
      </c>
      <c r="C72" s="138">
        <f t="shared" si="11"/>
        <v>21422.885100000007</v>
      </c>
      <c r="D72" s="127">
        <f t="shared" si="11"/>
        <v>7244801.5</v>
      </c>
      <c r="E72" s="121">
        <f>SUM(E49:E71)</f>
        <v>29707</v>
      </c>
      <c r="F72" s="118">
        <f>SUM(F49:F71)</f>
        <v>18820945</v>
      </c>
      <c r="G72" s="24">
        <f>SUM(G49:G71)</f>
        <v>284982</v>
      </c>
      <c r="I72" s="128"/>
      <c r="J72" s="129"/>
      <c r="K72" s="103"/>
    </row>
    <row r="73" spans="1:11" x14ac:dyDescent="0.25">
      <c r="A73" s="120" t="s">
        <v>47</v>
      </c>
      <c r="B73" s="123">
        <v>44197</v>
      </c>
      <c r="C73" s="123">
        <v>44470</v>
      </c>
      <c r="D73" s="119" t="s">
        <v>51</v>
      </c>
      <c r="E73" s="139" t="s">
        <v>48</v>
      </c>
      <c r="F73" s="139" t="s">
        <v>58</v>
      </c>
      <c r="I73" s="128"/>
      <c r="J73" s="102"/>
      <c r="K73" s="103"/>
    </row>
    <row r="74" spans="1:11" x14ac:dyDescent="0.25">
      <c r="C74" s="18"/>
      <c r="E74" s="140" t="s">
        <v>49</v>
      </c>
      <c r="J74" s="102"/>
      <c r="K74" s="103"/>
    </row>
    <row r="75" spans="1:11" x14ac:dyDescent="0.25">
      <c r="J75" s="102"/>
      <c r="K75" s="102"/>
    </row>
    <row r="76" spans="1:11" x14ac:dyDescent="0.25">
      <c r="A76" s="23" t="s">
        <v>55</v>
      </c>
      <c r="F76" s="95"/>
      <c r="J76" s="100"/>
      <c r="K76" s="104"/>
    </row>
    <row r="77" spans="1:11" x14ac:dyDescent="0.25">
      <c r="A77" s="23" t="s">
        <v>57</v>
      </c>
      <c r="F77" s="95"/>
      <c r="J77" s="99"/>
    </row>
    <row r="78" spans="1:11" x14ac:dyDescent="0.25">
      <c r="A78" s="23"/>
      <c r="F78" s="95"/>
    </row>
    <row r="80" spans="1:11" x14ac:dyDescent="0.25">
      <c r="F80" s="95"/>
    </row>
    <row r="81" spans="1:6" ht="18.75" x14ac:dyDescent="0.25">
      <c r="A81" s="130"/>
      <c r="F81" s="131"/>
    </row>
    <row r="82" spans="1:6" ht="18.75" x14ac:dyDescent="0.25">
      <c r="A82" s="130"/>
      <c r="F82" s="131"/>
    </row>
    <row r="83" spans="1:6" ht="18.75" x14ac:dyDescent="0.25">
      <c r="A83" s="130"/>
      <c r="C83" s="15"/>
      <c r="F83" s="133"/>
    </row>
    <row r="84" spans="1:6" ht="18.75" x14ac:dyDescent="0.25">
      <c r="A84" s="130"/>
      <c r="F84" s="131"/>
    </row>
    <row r="85" spans="1:6" ht="18.75" x14ac:dyDescent="0.25">
      <c r="A85" s="130"/>
      <c r="F85" s="131"/>
    </row>
    <row r="86" spans="1:6" ht="18.75" x14ac:dyDescent="0.25">
      <c r="A86" s="130"/>
      <c r="F86" s="131"/>
    </row>
    <row r="87" spans="1:6" ht="18.75" x14ac:dyDescent="0.25">
      <c r="A87" s="130"/>
      <c r="F87" s="131"/>
    </row>
    <row r="88" spans="1:6" ht="18.75" x14ac:dyDescent="0.25">
      <c r="A88" s="130"/>
      <c r="F88" s="131"/>
    </row>
    <row r="89" spans="1:6" ht="18.75" x14ac:dyDescent="0.25">
      <c r="A89" s="130"/>
      <c r="F89" s="131"/>
    </row>
    <row r="90" spans="1:6" ht="18.75" x14ac:dyDescent="0.25">
      <c r="A90" s="130"/>
      <c r="F90" s="131"/>
    </row>
    <row r="91" spans="1:6" ht="18.75" x14ac:dyDescent="0.25">
      <c r="A91" s="130"/>
      <c r="F91" s="131"/>
    </row>
    <row r="92" spans="1:6" ht="18.75" x14ac:dyDescent="0.25">
      <c r="A92" s="130"/>
      <c r="F92" s="131"/>
    </row>
    <row r="93" spans="1:6" ht="18.75" x14ac:dyDescent="0.25">
      <c r="A93" s="130"/>
      <c r="F93" s="131"/>
    </row>
    <row r="94" spans="1:6" ht="18.75" x14ac:dyDescent="0.25">
      <c r="A94" s="130"/>
      <c r="F94" s="131"/>
    </row>
    <row r="95" spans="1:6" ht="18.75" x14ac:dyDescent="0.25">
      <c r="A95" s="130"/>
      <c r="F95" s="131"/>
    </row>
    <row r="96" spans="1:6" ht="18.75" x14ac:dyDescent="0.25">
      <c r="A96" s="130"/>
      <c r="F96" s="131"/>
    </row>
    <row r="97" spans="1:8" ht="18.75" x14ac:dyDescent="0.25">
      <c r="A97" s="130"/>
      <c r="F97" s="131"/>
    </row>
    <row r="98" spans="1:8" ht="18.75" x14ac:dyDescent="0.25">
      <c r="A98" s="130"/>
      <c r="F98" s="131"/>
    </row>
    <row r="99" spans="1:8" ht="18.75" x14ac:dyDescent="0.25">
      <c r="A99" s="130"/>
      <c r="F99" s="131"/>
    </row>
    <row r="100" spans="1:8" ht="18.75" x14ac:dyDescent="0.25">
      <c r="A100" s="130"/>
      <c r="F100" s="131"/>
    </row>
    <row r="101" spans="1:8" ht="18.75" x14ac:dyDescent="0.25">
      <c r="A101" s="130"/>
      <c r="F101" s="131"/>
    </row>
    <row r="102" spans="1:8" ht="18.75" x14ac:dyDescent="0.25">
      <c r="A102" s="130"/>
      <c r="F102" s="131"/>
    </row>
    <row r="103" spans="1:8" ht="18.75" x14ac:dyDescent="0.25">
      <c r="A103" s="130"/>
      <c r="F103" s="131"/>
    </row>
    <row r="104" spans="1:8" ht="18.75" x14ac:dyDescent="0.25">
      <c r="A104" s="130"/>
      <c r="E104" s="22"/>
      <c r="F104" s="132"/>
    </row>
    <row r="105" spans="1:8" ht="18.75" x14ac:dyDescent="0.25">
      <c r="A105" s="130"/>
    </row>
    <row r="106" spans="1:8" ht="18.75" x14ac:dyDescent="0.25">
      <c r="A106" s="130"/>
      <c r="H106" s="128"/>
    </row>
  </sheetData>
  <mergeCells count="12">
    <mergeCell ref="F46:F48"/>
    <mergeCell ref="G46:G48"/>
    <mergeCell ref="A10:A11"/>
    <mergeCell ref="C10:C11"/>
    <mergeCell ref="D10:D11"/>
    <mergeCell ref="E10:E11"/>
    <mergeCell ref="C43:D43"/>
    <mergeCell ref="A46:A48"/>
    <mergeCell ref="B46:B48"/>
    <mergeCell ref="C46:C48"/>
    <mergeCell ref="D46:D48"/>
    <mergeCell ref="E46:E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B4FE-DDA3-4D00-8258-3A2FB10ECD5C}">
  <sheetPr>
    <pageSetUpPr fitToPage="1"/>
  </sheetPr>
  <dimension ref="A1:J33"/>
  <sheetViews>
    <sheetView tabSelected="1" workbookViewId="0">
      <selection activeCell="P15" sqref="P15"/>
    </sheetView>
  </sheetViews>
  <sheetFormatPr defaultRowHeight="15" x14ac:dyDescent="0.25"/>
  <cols>
    <col min="1" max="1" width="23.42578125" customWidth="1"/>
    <col min="2" max="10" width="11.85546875" customWidth="1"/>
  </cols>
  <sheetData>
    <row r="1" spans="1:10" ht="18.75" x14ac:dyDescent="0.3">
      <c r="A1" s="151" t="s">
        <v>75</v>
      </c>
    </row>
    <row r="2" spans="1:10" x14ac:dyDescent="0.25">
      <c r="A2" s="22"/>
    </row>
    <row r="3" spans="1:10" x14ac:dyDescent="0.25">
      <c r="A3" t="s">
        <v>62</v>
      </c>
      <c r="D3" s="239">
        <v>8049924899</v>
      </c>
      <c r="E3" t="s">
        <v>63</v>
      </c>
      <c r="G3" s="9"/>
    </row>
    <row r="4" spans="1:10" x14ac:dyDescent="0.25">
      <c r="A4" s="22" t="s">
        <v>64</v>
      </c>
      <c r="B4" s="22"/>
      <c r="C4" s="22"/>
      <c r="D4" s="21">
        <f>SUM(D3*0.03)/1000</f>
        <v>241497.74697000001</v>
      </c>
      <c r="E4" t="s">
        <v>65</v>
      </c>
    </row>
    <row r="5" spans="1:10" x14ac:dyDescent="0.25">
      <c r="A5" t="s">
        <v>66</v>
      </c>
      <c r="D5" s="9">
        <v>23000</v>
      </c>
      <c r="E5" t="s">
        <v>65</v>
      </c>
    </row>
    <row r="6" spans="1:10" x14ac:dyDescent="0.25">
      <c r="A6" t="s">
        <v>67</v>
      </c>
      <c r="D6" s="9">
        <f>SUM(D4-D5)</f>
        <v>218497.74697000001</v>
      </c>
      <c r="E6" t="s">
        <v>65</v>
      </c>
    </row>
    <row r="7" spans="1:10" ht="15.75" thickBot="1" x14ac:dyDescent="0.3">
      <c r="J7" s="152" t="s">
        <v>34</v>
      </c>
    </row>
    <row r="8" spans="1:10" ht="15.75" hidden="1" thickBot="1" x14ac:dyDescent="0.3">
      <c r="E8" s="153">
        <v>0.55000000000000004</v>
      </c>
      <c r="F8" s="153">
        <v>0.15</v>
      </c>
      <c r="G8" s="153">
        <v>0.3</v>
      </c>
      <c r="H8" s="153"/>
      <c r="I8" s="153"/>
    </row>
    <row r="9" spans="1:10" ht="44.25" customHeight="1" thickBot="1" x14ac:dyDescent="0.3">
      <c r="A9" s="183" t="s">
        <v>24</v>
      </c>
      <c r="B9" s="184" t="s">
        <v>90</v>
      </c>
      <c r="C9" s="185" t="s">
        <v>76</v>
      </c>
      <c r="D9" s="186" t="s">
        <v>91</v>
      </c>
      <c r="E9" s="187" t="s">
        <v>77</v>
      </c>
      <c r="F9" s="188" t="s">
        <v>78</v>
      </c>
      <c r="G9" s="189" t="s">
        <v>92</v>
      </c>
      <c r="H9" s="190" t="s">
        <v>79</v>
      </c>
      <c r="I9" s="185" t="s">
        <v>80</v>
      </c>
      <c r="J9" s="191" t="s">
        <v>93</v>
      </c>
    </row>
    <row r="10" spans="1:10" x14ac:dyDescent="0.25">
      <c r="A10" s="240" t="s">
        <v>25</v>
      </c>
      <c r="B10" s="154">
        <v>36684</v>
      </c>
      <c r="C10" s="155">
        <v>1324.2337</v>
      </c>
      <c r="D10" s="156">
        <v>1074867.2</v>
      </c>
      <c r="E10" s="154">
        <f>SUM($D$6*$E$8/$B$33*$B10)</f>
        <v>15559.982501821667</v>
      </c>
      <c r="F10" s="157">
        <f>SUM($D$6*$F$8/$C$33*$C10)+1</f>
        <v>2026.9321647933416</v>
      </c>
      <c r="G10" s="16">
        <f>SUM($D$6*$G$8/$D$33*$D10)</f>
        <v>9725.1551264152258</v>
      </c>
      <c r="H10" s="158">
        <v>1000</v>
      </c>
      <c r="I10" s="159">
        <f>SUM(E10+F10+G10)</f>
        <v>27312.069793030234</v>
      </c>
      <c r="J10" s="241">
        <f>SUM(H10+I10)</f>
        <v>28312.069793030234</v>
      </c>
    </row>
    <row r="11" spans="1:10" x14ac:dyDescent="0.25">
      <c r="A11" s="242" t="s">
        <v>14</v>
      </c>
      <c r="B11" s="160">
        <v>20588</v>
      </c>
      <c r="C11" s="161">
        <v>4174.0290999999997</v>
      </c>
      <c r="D11" s="162">
        <v>842948.9</v>
      </c>
      <c r="E11" s="154">
        <f>SUM($D$6*$E$8/$B$33*$B11)+1</f>
        <v>8733.6605535793387</v>
      </c>
      <c r="F11" s="157">
        <f t="shared" ref="F11:F32" si="0">SUM($D$6*$F$8/$C$33*$C11)</f>
        <v>6385.8062292731283</v>
      </c>
      <c r="G11" s="16">
        <f t="shared" ref="G11:G32" si="1">SUM($D$6*$G$8/$D$33*$D11)</f>
        <v>7626.810843368442</v>
      </c>
      <c r="H11" s="158">
        <v>1000</v>
      </c>
      <c r="I11" s="159">
        <f>SUM(E11+F11+G11)+1</f>
        <v>22747.277626220908</v>
      </c>
      <c r="J11" s="241">
        <f t="shared" ref="J11:J32" si="2">SUM(H11+I11)</f>
        <v>23747.277626220908</v>
      </c>
    </row>
    <row r="12" spans="1:10" x14ac:dyDescent="0.25">
      <c r="A12" s="242" t="s">
        <v>8</v>
      </c>
      <c r="B12" s="160">
        <v>98794</v>
      </c>
      <c r="C12" s="161">
        <v>1631.4538</v>
      </c>
      <c r="D12" s="162">
        <v>1803533.3</v>
      </c>
      <c r="E12" s="154">
        <f>SUM($D$6*$E$8/$B$33*$B12)+1</f>
        <v>41905.724438037556</v>
      </c>
      <c r="F12" s="157">
        <f>SUM($D$6*$F$8/$C$33*$C12)</f>
        <v>2495.9451861059897</v>
      </c>
      <c r="G12" s="16">
        <f t="shared" si="1"/>
        <v>16317.961063613784</v>
      </c>
      <c r="H12" s="158">
        <v>1000</v>
      </c>
      <c r="I12" s="159">
        <f t="shared" ref="I12:I18" si="3">SUM(E12+F12+G12)</f>
        <v>60719.630687757322</v>
      </c>
      <c r="J12" s="241">
        <f t="shared" si="2"/>
        <v>61719.630687757322</v>
      </c>
    </row>
    <row r="13" spans="1:10" x14ac:dyDescent="0.25">
      <c r="A13" s="242" t="s">
        <v>11</v>
      </c>
      <c r="B13" s="160">
        <v>61884</v>
      </c>
      <c r="C13" s="161">
        <v>1317.9149</v>
      </c>
      <c r="D13" s="162">
        <v>1024527.1</v>
      </c>
      <c r="E13" s="154">
        <f>SUM($D$6*$E$8/$B$33*$B13)-1</f>
        <v>26247.881178244792</v>
      </c>
      <c r="F13" s="157">
        <f t="shared" si="0"/>
        <v>2016.2650945753762</v>
      </c>
      <c r="G13" s="16">
        <f t="shared" si="1"/>
        <v>9269.6892962370839</v>
      </c>
      <c r="H13" s="158">
        <v>1000</v>
      </c>
      <c r="I13" s="159">
        <f t="shared" si="3"/>
        <v>37533.83556905725</v>
      </c>
      <c r="J13" s="241">
        <f t="shared" si="2"/>
        <v>38533.83556905725</v>
      </c>
    </row>
    <row r="14" spans="1:10" x14ac:dyDescent="0.25">
      <c r="A14" s="242" t="s">
        <v>6</v>
      </c>
      <c r="B14" s="160">
        <v>2214</v>
      </c>
      <c r="C14" s="161">
        <v>717.56690000000003</v>
      </c>
      <c r="D14" s="162">
        <v>54188.9</v>
      </c>
      <c r="E14" s="154">
        <f>SUM($D$6*$E$8/$B$33*$B14)</f>
        <v>939.09609800003182</v>
      </c>
      <c r="F14" s="157">
        <f>SUM($D$6*$F$8/$C$33*$C14)-1</f>
        <v>1096.7985706760426</v>
      </c>
      <c r="G14" s="16">
        <f t="shared" si="1"/>
        <v>490.28890139154123</v>
      </c>
      <c r="H14" s="158">
        <v>1000</v>
      </c>
      <c r="I14" s="159">
        <f t="shared" si="3"/>
        <v>2526.1835700676156</v>
      </c>
      <c r="J14" s="241">
        <f t="shared" si="2"/>
        <v>3526.1835700676156</v>
      </c>
    </row>
    <row r="15" spans="1:10" x14ac:dyDescent="0.25">
      <c r="A15" s="242" t="s">
        <v>18</v>
      </c>
      <c r="B15" s="160">
        <v>7723</v>
      </c>
      <c r="C15" s="161">
        <v>647.43650000000002</v>
      </c>
      <c r="D15" s="162">
        <v>323983.2</v>
      </c>
      <c r="E15" s="154">
        <f>SUM($D$6*$E$8/$B$33*$B15)</f>
        <v>3275.8081142069764</v>
      </c>
      <c r="F15" s="157">
        <f t="shared" si="0"/>
        <v>990.50675874751141</v>
      </c>
      <c r="G15" s="16">
        <f t="shared" si="1"/>
        <v>2931.3266591002211</v>
      </c>
      <c r="H15" s="158">
        <v>1000</v>
      </c>
      <c r="I15" s="159">
        <f>SUM(E15+F15+G15)</f>
        <v>7197.6415320547094</v>
      </c>
      <c r="J15" s="241">
        <f t="shared" si="2"/>
        <v>8197.6415320547094</v>
      </c>
    </row>
    <row r="16" spans="1:10" x14ac:dyDescent="0.25">
      <c r="A16" s="242" t="s">
        <v>15</v>
      </c>
      <c r="B16" s="160">
        <v>4129</v>
      </c>
      <c r="C16" s="161">
        <v>1393.3892000000001</v>
      </c>
      <c r="D16" s="162">
        <v>149878.6</v>
      </c>
      <c r="E16" s="154">
        <f t="shared" ref="E16:E29" si="4">SUM($D$6*$E$8/$B$33*$B16)</f>
        <v>1751.3675648790115</v>
      </c>
      <c r="F16" s="157">
        <f t="shared" si="0"/>
        <v>2131.732486762467</v>
      </c>
      <c r="G16" s="16">
        <f t="shared" si="1"/>
        <v>1356.0676473614014</v>
      </c>
      <c r="H16" s="158">
        <v>1000</v>
      </c>
      <c r="I16" s="159">
        <f>SUM(E16+F16+G16)</f>
        <v>5239.16769900288</v>
      </c>
      <c r="J16" s="241">
        <f t="shared" si="2"/>
        <v>6239.16769900288</v>
      </c>
    </row>
    <row r="17" spans="1:10" x14ac:dyDescent="0.25">
      <c r="A17" s="242" t="s">
        <v>13</v>
      </c>
      <c r="B17" s="160">
        <v>1356</v>
      </c>
      <c r="C17" s="161">
        <v>107.19329999999999</v>
      </c>
      <c r="D17" s="162">
        <v>61416.800000000003</v>
      </c>
      <c r="E17" s="154">
        <f t="shared" si="4"/>
        <v>575.16454782657775</v>
      </c>
      <c r="F17" s="157">
        <f t="shared" si="0"/>
        <v>163.99397955235705</v>
      </c>
      <c r="G17" s="16">
        <f t="shared" si="1"/>
        <v>555.68530453624282</v>
      </c>
      <c r="H17" s="158">
        <v>1000</v>
      </c>
      <c r="I17" s="159">
        <f>SUM(E17+F17+G17)</f>
        <v>1294.8438319151776</v>
      </c>
      <c r="J17" s="241">
        <f t="shared" si="2"/>
        <v>2294.8438319151774</v>
      </c>
    </row>
    <row r="18" spans="1:10" x14ac:dyDescent="0.25">
      <c r="A18" s="242" t="s">
        <v>26</v>
      </c>
      <c r="B18" s="160">
        <v>11442</v>
      </c>
      <c r="C18" s="161">
        <v>735.31700000000001</v>
      </c>
      <c r="D18" s="162">
        <v>381478.40000000002</v>
      </c>
      <c r="E18" s="154">
        <f t="shared" si="4"/>
        <v>4853.2689942711677</v>
      </c>
      <c r="F18" s="157">
        <f t="shared" si="0"/>
        <v>1124.9542747774397</v>
      </c>
      <c r="G18" s="16">
        <f t="shared" si="1"/>
        <v>3451.530214501548</v>
      </c>
      <c r="H18" s="158">
        <v>1000</v>
      </c>
      <c r="I18" s="159">
        <f t="shared" si="3"/>
        <v>9429.7534835501556</v>
      </c>
      <c r="J18" s="241">
        <f t="shared" si="2"/>
        <v>10429.753483550156</v>
      </c>
    </row>
    <row r="19" spans="1:10" x14ac:dyDescent="0.25">
      <c r="A19" s="242" t="s">
        <v>9</v>
      </c>
      <c r="B19" s="160">
        <v>3201</v>
      </c>
      <c r="C19" s="161">
        <v>390.40039999999999</v>
      </c>
      <c r="D19" s="162">
        <v>86990.399999999994</v>
      </c>
      <c r="E19" s="154">
        <f t="shared" si="4"/>
        <v>1357.7446294932711</v>
      </c>
      <c r="F19" s="157">
        <f t="shared" si="0"/>
        <v>597.26974740801904</v>
      </c>
      <c r="G19" s="16">
        <f t="shared" si="1"/>
        <v>787.06944868064727</v>
      </c>
      <c r="H19" s="158">
        <v>1000</v>
      </c>
      <c r="I19" s="159">
        <f>SUM(E19+F19+G19)</f>
        <v>2742.0838255819376</v>
      </c>
      <c r="J19" s="241">
        <f t="shared" si="2"/>
        <v>3742.0838255819376</v>
      </c>
    </row>
    <row r="20" spans="1:10" x14ac:dyDescent="0.25">
      <c r="A20" s="242" t="s">
        <v>3</v>
      </c>
      <c r="B20" s="160">
        <v>1379</v>
      </c>
      <c r="C20" s="161">
        <v>213.64619999999999</v>
      </c>
      <c r="D20" s="162">
        <v>40373.1</v>
      </c>
      <c r="E20" s="154">
        <f t="shared" si="4"/>
        <v>584.92028868204329</v>
      </c>
      <c r="F20" s="157">
        <f t="shared" si="0"/>
        <v>326.85522839803218</v>
      </c>
      <c r="G20" s="16">
        <f t="shared" si="1"/>
        <v>365.28667023635529</v>
      </c>
      <c r="H20" s="158">
        <v>1000</v>
      </c>
      <c r="I20" s="159">
        <f>SUM(E20+F20+G20)</f>
        <v>1277.0621873164307</v>
      </c>
      <c r="J20" s="241">
        <f t="shared" si="2"/>
        <v>2277.0621873164309</v>
      </c>
    </row>
    <row r="21" spans="1:10" x14ac:dyDescent="0.25">
      <c r="A21" s="242" t="s">
        <v>0</v>
      </c>
      <c r="B21" s="160">
        <v>1740</v>
      </c>
      <c r="C21" s="161">
        <v>529.51480000000004</v>
      </c>
      <c r="D21" s="162">
        <v>73625.899999999994</v>
      </c>
      <c r="E21" s="154">
        <f t="shared" si="4"/>
        <v>738.04300384826354</v>
      </c>
      <c r="F21" s="157">
        <f t="shared" si="0"/>
        <v>810.0995051357728</v>
      </c>
      <c r="G21" s="16">
        <f t="shared" si="1"/>
        <v>666.15047777244922</v>
      </c>
      <c r="H21" s="158">
        <v>1000</v>
      </c>
      <c r="I21" s="159">
        <f>SUM(E21+F21+G21)</f>
        <v>2214.2929867564853</v>
      </c>
      <c r="J21" s="241">
        <f t="shared" si="2"/>
        <v>3214.2929867564853</v>
      </c>
    </row>
    <row r="22" spans="1:10" x14ac:dyDescent="0.25">
      <c r="A22" s="242" t="s">
        <v>7</v>
      </c>
      <c r="B22" s="160">
        <v>713</v>
      </c>
      <c r="C22" s="161">
        <v>306.69979999999998</v>
      </c>
      <c r="D22" s="162">
        <v>46409.599999999999</v>
      </c>
      <c r="E22" s="154">
        <f>SUM($D$6*$E$8/$B$33*$B22)+1</f>
        <v>303.42796651943212</v>
      </c>
      <c r="F22" s="157">
        <f t="shared" si="0"/>
        <v>469.21701943975967</v>
      </c>
      <c r="G22" s="16">
        <f t="shared" si="1"/>
        <v>419.90355585776553</v>
      </c>
      <c r="H22" s="158">
        <v>1000</v>
      </c>
      <c r="I22" s="159">
        <f>SUM(E22+F22+G22)-1</f>
        <v>1191.5485418169574</v>
      </c>
      <c r="J22" s="241">
        <f t="shared" si="2"/>
        <v>2191.5485418169574</v>
      </c>
    </row>
    <row r="23" spans="1:10" x14ac:dyDescent="0.25">
      <c r="A23" s="242" t="s">
        <v>12</v>
      </c>
      <c r="B23" s="160">
        <v>1225</v>
      </c>
      <c r="C23" s="161">
        <v>343.00259999999997</v>
      </c>
      <c r="D23" s="162">
        <v>32009.599999999999</v>
      </c>
      <c r="E23" s="154">
        <f t="shared" si="4"/>
        <v>519.59924121501308</v>
      </c>
      <c r="F23" s="157">
        <f t="shared" si="0"/>
        <v>524.75631751989442</v>
      </c>
      <c r="G23" s="16">
        <f t="shared" si="1"/>
        <v>289.61561533787687</v>
      </c>
      <c r="H23" s="158">
        <v>1000</v>
      </c>
      <c r="I23" s="159">
        <f>SUM(E23+F23+G23)+1</f>
        <v>1334.9711740727844</v>
      </c>
      <c r="J23" s="241">
        <f>SUM(H23+I23)</f>
        <v>2334.9711740727844</v>
      </c>
    </row>
    <row r="24" spans="1:10" x14ac:dyDescent="0.25">
      <c r="A24" s="242" t="s">
        <v>5</v>
      </c>
      <c r="B24" s="160">
        <v>3391</v>
      </c>
      <c r="C24" s="161">
        <v>289.15300000000002</v>
      </c>
      <c r="D24" s="162">
        <v>124017.5</v>
      </c>
      <c r="E24" s="154">
        <f>SUM($D$6*$E$8/$B$33*$B24)</f>
        <v>1438.3355322123343</v>
      </c>
      <c r="F24" s="157">
        <f>SUM($D$6*$F$8/$C$33*$C24)+1</f>
        <v>443.37234201673704</v>
      </c>
      <c r="G24" s="16">
        <f t="shared" si="1"/>
        <v>1122.0822682934229</v>
      </c>
      <c r="H24" s="158">
        <v>1000</v>
      </c>
      <c r="I24" s="159">
        <f>SUM(E24+F24+G24)-1</f>
        <v>3002.7901425224945</v>
      </c>
      <c r="J24" s="241">
        <f t="shared" si="2"/>
        <v>4002.7901425224945</v>
      </c>
    </row>
    <row r="25" spans="1:10" x14ac:dyDescent="0.25">
      <c r="A25" s="243" t="s">
        <v>27</v>
      </c>
      <c r="B25" s="160">
        <v>6331</v>
      </c>
      <c r="C25" s="161">
        <v>1666.3562999999999</v>
      </c>
      <c r="D25" s="162">
        <v>323449.3</v>
      </c>
      <c r="E25" s="154">
        <f>SUM($D$6*$E$8/$B$33*$B25)</f>
        <v>2685.3737111283658</v>
      </c>
      <c r="F25" s="157">
        <f>SUM($D$6*$F$8/$C$33*$C25)</f>
        <v>2549.3421789341437</v>
      </c>
      <c r="G25" s="16">
        <f>SUM($D$6*$G$8/$D$33*$D25)+1</f>
        <v>2927.4960527499734</v>
      </c>
      <c r="H25" s="158">
        <v>1000</v>
      </c>
      <c r="I25" s="159">
        <f>SUM(E25+F25+G25)-1</f>
        <v>8161.2119428124824</v>
      </c>
      <c r="J25" s="241">
        <f t="shared" si="2"/>
        <v>9161.2119428124824</v>
      </c>
    </row>
    <row r="26" spans="1:10" x14ac:dyDescent="0.25">
      <c r="A26" s="242" t="s">
        <v>2</v>
      </c>
      <c r="B26" s="160">
        <v>2752</v>
      </c>
      <c r="C26" s="161">
        <v>658.80160000000001</v>
      </c>
      <c r="D26" s="162">
        <v>68458.5</v>
      </c>
      <c r="E26" s="154">
        <f t="shared" si="4"/>
        <v>1167.2956014887479</v>
      </c>
      <c r="F26" s="157">
        <f t="shared" si="0"/>
        <v>1007.8941138994704</v>
      </c>
      <c r="G26" s="16">
        <f t="shared" si="1"/>
        <v>619.3970122278331</v>
      </c>
      <c r="H26" s="158">
        <v>1000</v>
      </c>
      <c r="I26" s="159">
        <f>SUM(E26+F26+G26)-1</f>
        <v>2793.5867276160516</v>
      </c>
      <c r="J26" s="241">
        <f t="shared" si="2"/>
        <v>3793.5867276160516</v>
      </c>
    </row>
    <row r="27" spans="1:10" x14ac:dyDescent="0.25">
      <c r="A27" s="242" t="s">
        <v>4</v>
      </c>
      <c r="B27" s="160">
        <v>1167</v>
      </c>
      <c r="C27" s="161">
        <v>402.6814</v>
      </c>
      <c r="D27" s="162">
        <v>53592.2</v>
      </c>
      <c r="E27" s="154">
        <f>SUM($D$6*$E$8/$B$33*$B27)</f>
        <v>494.99780775340435</v>
      </c>
      <c r="F27" s="157">
        <f>SUM($D$6*$F$8/$C$33*$C27)</f>
        <v>616.05832899737675</v>
      </c>
      <c r="G27" s="16">
        <f>SUM($D$6*$G$8/$D$33*$D27)</f>
        <v>484.89009485624831</v>
      </c>
      <c r="H27" s="158">
        <v>1000</v>
      </c>
      <c r="I27" s="159">
        <f>SUM(E27+F27+G27)</f>
        <v>1595.9462316070294</v>
      </c>
      <c r="J27" s="241">
        <f t="shared" si="2"/>
        <v>2595.9462316070294</v>
      </c>
    </row>
    <row r="28" spans="1:10" x14ac:dyDescent="0.25">
      <c r="A28" s="242" t="s">
        <v>21</v>
      </c>
      <c r="B28" s="160">
        <v>5032</v>
      </c>
      <c r="C28" s="161">
        <v>1724.9078</v>
      </c>
      <c r="D28" s="162">
        <v>159970</v>
      </c>
      <c r="E28" s="154">
        <f t="shared" si="4"/>
        <v>2134.3864341175067</v>
      </c>
      <c r="F28" s="157">
        <f>SUM($D$6*$F$8/$C$33*$C28)</f>
        <v>2638.9195451852042</v>
      </c>
      <c r="G28" s="16">
        <f t="shared" si="1"/>
        <v>1447.3723503449019</v>
      </c>
      <c r="H28" s="158">
        <v>1000</v>
      </c>
      <c r="I28" s="159">
        <f>SUM(E28+F28+G28)-1</f>
        <v>6219.6783296476133</v>
      </c>
      <c r="J28" s="241">
        <f t="shared" si="2"/>
        <v>7219.6783296476133</v>
      </c>
    </row>
    <row r="29" spans="1:10" x14ac:dyDescent="0.25">
      <c r="A29" s="242" t="s">
        <v>1</v>
      </c>
      <c r="B29" s="160">
        <v>3829</v>
      </c>
      <c r="C29" s="161">
        <v>921.05110000000002</v>
      </c>
      <c r="D29" s="162">
        <v>156291.20000000001</v>
      </c>
      <c r="E29" s="154">
        <f t="shared" si="4"/>
        <v>1624.1187711120695</v>
      </c>
      <c r="F29" s="157">
        <f t="shared" si="0"/>
        <v>1409.1070548259636</v>
      </c>
      <c r="G29" s="16">
        <f t="shared" si="1"/>
        <v>1414.0874006515292</v>
      </c>
      <c r="H29" s="158">
        <v>1000</v>
      </c>
      <c r="I29" s="159">
        <f t="shared" ref="I29:I32" si="5">SUM(E29+F29+G29)</f>
        <v>4447.313226589562</v>
      </c>
      <c r="J29" s="241">
        <f>SUM(H29+I29)</f>
        <v>5447.313226589562</v>
      </c>
    </row>
    <row r="30" spans="1:10" x14ac:dyDescent="0.25">
      <c r="A30" s="242" t="s">
        <v>16</v>
      </c>
      <c r="B30" s="160">
        <v>4325</v>
      </c>
      <c r="C30" s="161">
        <v>1162.3443</v>
      </c>
      <c r="D30" s="162">
        <v>235948.5</v>
      </c>
      <c r="E30" s="154">
        <f>SUM($D$6*$E$8/$B$33*$B30)</f>
        <v>1834.5034434734137</v>
      </c>
      <c r="F30" s="157">
        <f t="shared" si="0"/>
        <v>1778.2591576805523</v>
      </c>
      <c r="G30" s="16">
        <f t="shared" si="1"/>
        <v>2134.8086203997877</v>
      </c>
      <c r="H30" s="158">
        <v>1000</v>
      </c>
      <c r="I30" s="159">
        <f>SUM(E30+F30+G30)</f>
        <v>5747.5712215537533</v>
      </c>
      <c r="J30" s="241">
        <f>SUM(H30+I30)</f>
        <v>6747.5712215537533</v>
      </c>
    </row>
    <row r="31" spans="1:10" x14ac:dyDescent="0.25">
      <c r="A31" s="242" t="s">
        <v>17</v>
      </c>
      <c r="B31" s="160">
        <v>1920</v>
      </c>
      <c r="C31" s="161">
        <v>282.0557</v>
      </c>
      <c r="D31" s="162">
        <v>89339.199999999997</v>
      </c>
      <c r="E31" s="154">
        <f>SUM($D$6*$E$8/$B$33*$B31)</f>
        <v>814.39228010842874</v>
      </c>
      <c r="F31" s="157">
        <f>SUM($D$6*$F$8/$C$33*$C31)-1</f>
        <v>430.51425227533582</v>
      </c>
      <c r="G31" s="16">
        <f t="shared" si="1"/>
        <v>808.32085942322465</v>
      </c>
      <c r="H31" s="158">
        <v>1000</v>
      </c>
      <c r="I31" s="159">
        <f>SUM(E31+F31+G31)</f>
        <v>2053.2273918069891</v>
      </c>
      <c r="J31" s="241">
        <f>SUM(H31+I31)</f>
        <v>3053.2273918069891</v>
      </c>
    </row>
    <row r="32" spans="1:10" ht="15.75" thickBot="1" x14ac:dyDescent="0.3">
      <c r="A32" s="244" t="s">
        <v>10</v>
      </c>
      <c r="B32" s="163">
        <v>1501</v>
      </c>
      <c r="C32" s="164">
        <v>483.73570000000001</v>
      </c>
      <c r="D32" s="165">
        <v>37504.1</v>
      </c>
      <c r="E32" s="163">
        <f>SUM($D$6*$E$8/$B$33*$B32)-1</f>
        <v>635.66813148059975</v>
      </c>
      <c r="F32" s="166">
        <f t="shared" si="0"/>
        <v>740.06250852007656</v>
      </c>
      <c r="G32" s="167">
        <f t="shared" si="1"/>
        <v>339.32860764249688</v>
      </c>
      <c r="H32" s="168">
        <v>1000</v>
      </c>
      <c r="I32" s="169">
        <f t="shared" si="5"/>
        <v>1715.0592476431734</v>
      </c>
      <c r="J32" s="245">
        <f t="shared" si="2"/>
        <v>2715.0592476431734</v>
      </c>
    </row>
    <row r="33" spans="1:10" ht="16.5" thickTop="1" thickBot="1" x14ac:dyDescent="0.3">
      <c r="A33" s="246" t="s">
        <v>74</v>
      </c>
      <c r="B33" s="192">
        <f t="shared" ref="B33:H33" si="6">SUM(B10:B32)</f>
        <v>283320</v>
      </c>
      <c r="C33" s="193">
        <f t="shared" si="6"/>
        <v>21422.885100000007</v>
      </c>
      <c r="D33" s="194">
        <f t="shared" si="6"/>
        <v>7244801.5</v>
      </c>
      <c r="E33" s="192">
        <f>SUM(E10:E32)-1</f>
        <v>120173.76083350001</v>
      </c>
      <c r="F33" s="195">
        <f>SUM(F10:F32)</f>
        <v>32774.662045499987</v>
      </c>
      <c r="G33" s="196">
        <f>SUM(G10:G32)-1</f>
        <v>65549.324091000002</v>
      </c>
      <c r="H33" s="197">
        <f t="shared" si="6"/>
        <v>23000</v>
      </c>
      <c r="I33" s="198">
        <f>SUM(I10:I32)+1</f>
        <v>218497.74696999998</v>
      </c>
      <c r="J33" s="199">
        <f>SUM(J10:J32)+1</f>
        <v>241497.74696999998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 differentFirst="1">
    <oddFooter>&amp;C&amp;P/&amp;N</oddFooter>
    <firstHeader>&amp;RPříloha č. 11</firstHeader>
    <firstFooter>&amp;C&amp;P/&amp;N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C558-AF3A-41FA-B2A6-DB3AB90CA5A9}">
  <sheetPr>
    <pageSetUpPr fitToPage="1"/>
  </sheetPr>
  <dimension ref="A1:K68"/>
  <sheetViews>
    <sheetView showGridLines="0" workbookViewId="0">
      <selection activeCell="P10" sqref="P10"/>
    </sheetView>
  </sheetViews>
  <sheetFormatPr defaultRowHeight="15" x14ac:dyDescent="0.25"/>
  <cols>
    <col min="1" max="1" width="21.85546875" customWidth="1"/>
    <col min="2" max="2" width="15.7109375" customWidth="1"/>
    <col min="3" max="10" width="13.7109375" customWidth="1"/>
    <col min="11" max="11" width="15.7109375" customWidth="1"/>
  </cols>
  <sheetData>
    <row r="1" spans="1:11" ht="18.75" x14ac:dyDescent="0.3">
      <c r="A1" s="150" t="s">
        <v>72</v>
      </c>
      <c r="B1" s="1"/>
      <c r="C1" s="1"/>
      <c r="D1" s="1"/>
      <c r="E1" s="1"/>
      <c r="F1" s="1"/>
      <c r="G1" s="1"/>
      <c r="H1" s="1"/>
      <c r="I1" s="144"/>
      <c r="J1" s="22"/>
      <c r="K1" s="27"/>
    </row>
    <row r="2" spans="1:11" ht="20.25" x14ac:dyDescent="0.3">
      <c r="A2" s="25"/>
      <c r="B2" s="1"/>
      <c r="C2" s="1"/>
      <c r="D2" s="1"/>
      <c r="E2" s="1"/>
      <c r="F2" s="1"/>
      <c r="G2" s="1"/>
      <c r="H2" s="1"/>
      <c r="I2" s="144"/>
      <c r="J2" s="22"/>
      <c r="K2" s="27"/>
    </row>
    <row r="3" spans="1:11" ht="18.75" x14ac:dyDescent="0.3">
      <c r="A3" t="s">
        <v>62</v>
      </c>
      <c r="C3" s="230">
        <v>8049924899</v>
      </c>
      <c r="D3" s="230"/>
      <c r="E3" t="s">
        <v>63</v>
      </c>
      <c r="F3" s="1"/>
      <c r="G3" s="1"/>
      <c r="H3" s="1"/>
      <c r="I3" s="28"/>
      <c r="J3" s="29"/>
      <c r="K3" s="145"/>
    </row>
    <row r="4" spans="1:11" ht="18.75" x14ac:dyDescent="0.3">
      <c r="A4" t="s">
        <v>94</v>
      </c>
      <c r="D4" s="9">
        <v>804992</v>
      </c>
      <c r="E4" t="s">
        <v>65</v>
      </c>
      <c r="F4" s="1"/>
      <c r="G4" s="1"/>
      <c r="H4" s="1"/>
      <c r="I4" s="31"/>
      <c r="J4" s="29"/>
      <c r="K4" s="32"/>
    </row>
    <row r="5" spans="1:11" ht="15.75" x14ac:dyDescent="0.25">
      <c r="A5" t="s">
        <v>95</v>
      </c>
      <c r="D5" s="9">
        <v>453210</v>
      </c>
      <c r="E5" t="s">
        <v>65</v>
      </c>
      <c r="F5" s="1"/>
      <c r="G5" s="1"/>
      <c r="H5" s="1"/>
      <c r="I5" s="31"/>
      <c r="J5" s="97"/>
      <c r="K5" s="145"/>
    </row>
    <row r="6" spans="1:11" ht="15.75" x14ac:dyDescent="0.25">
      <c r="A6" s="22" t="s">
        <v>96</v>
      </c>
      <c r="B6" s="22"/>
      <c r="C6" s="22"/>
      <c r="D6" s="21">
        <v>1258202</v>
      </c>
      <c r="E6" s="22" t="s">
        <v>65</v>
      </c>
      <c r="F6" s="1"/>
      <c r="G6" s="1"/>
      <c r="H6" s="1"/>
      <c r="I6" s="31"/>
      <c r="J6" s="28"/>
      <c r="K6" s="145"/>
    </row>
    <row r="7" spans="1:11" ht="15.75" thickBot="1" x14ac:dyDescent="0.3">
      <c r="A7" s="1"/>
      <c r="B7" s="1"/>
      <c r="C7" s="1"/>
      <c r="D7" s="1"/>
      <c r="E7" s="1"/>
      <c r="F7" s="1"/>
      <c r="G7" s="1"/>
      <c r="H7" s="1"/>
      <c r="J7" s="28"/>
      <c r="K7" s="325" t="s">
        <v>100</v>
      </c>
    </row>
    <row r="8" spans="1:11" ht="15.75" hidden="1" thickBot="1" x14ac:dyDescent="0.3">
      <c r="C8" s="206">
        <v>0.44</v>
      </c>
      <c r="D8" s="207">
        <v>0.12</v>
      </c>
      <c r="E8" s="207">
        <v>0.25</v>
      </c>
      <c r="F8" s="207">
        <v>0.19</v>
      </c>
      <c r="G8" s="208">
        <v>1</v>
      </c>
      <c r="K8" s="35" t="s">
        <v>34</v>
      </c>
    </row>
    <row r="9" spans="1:11" ht="15" customHeight="1" x14ac:dyDescent="0.25">
      <c r="A9" s="233" t="s">
        <v>83</v>
      </c>
      <c r="B9" s="175">
        <v>1</v>
      </c>
      <c r="C9" s="235" t="s">
        <v>89</v>
      </c>
      <c r="D9" s="231" t="s">
        <v>68</v>
      </c>
      <c r="E9" s="231" t="s">
        <v>69</v>
      </c>
      <c r="F9" s="231" t="s">
        <v>70</v>
      </c>
      <c r="G9" s="176">
        <v>2</v>
      </c>
      <c r="H9" s="177">
        <v>3</v>
      </c>
      <c r="I9" s="178">
        <v>4</v>
      </c>
      <c r="J9" s="177">
        <v>5</v>
      </c>
      <c r="K9" s="177">
        <v>6</v>
      </c>
    </row>
    <row r="10" spans="1:11" ht="39" thickBot="1" x14ac:dyDescent="0.3">
      <c r="A10" s="234"/>
      <c r="B10" s="179" t="s">
        <v>73</v>
      </c>
      <c r="C10" s="236"/>
      <c r="D10" s="232"/>
      <c r="E10" s="232"/>
      <c r="F10" s="232" t="s">
        <v>38</v>
      </c>
      <c r="G10" s="180" t="s">
        <v>71</v>
      </c>
      <c r="H10" s="181" t="s">
        <v>22</v>
      </c>
      <c r="I10" s="182" t="s">
        <v>53</v>
      </c>
      <c r="J10" s="181" t="s">
        <v>88</v>
      </c>
      <c r="K10" s="181" t="s">
        <v>74</v>
      </c>
    </row>
    <row r="11" spans="1:11" x14ac:dyDescent="0.25">
      <c r="A11" s="271" t="s">
        <v>19</v>
      </c>
      <c r="B11" s="275">
        <v>70284.392000000007</v>
      </c>
      <c r="C11" s="276">
        <v>45861.018185514615</v>
      </c>
      <c r="D11" s="277">
        <v>5971.1707157337069</v>
      </c>
      <c r="E11" s="278">
        <v>29857.943556576392</v>
      </c>
      <c r="F11" s="278">
        <v>18481.400458172531</v>
      </c>
      <c r="G11" s="279">
        <v>100170.53291599725</v>
      </c>
      <c r="H11" s="280">
        <v>170454.92491599725</v>
      </c>
      <c r="I11" s="281">
        <v>152173</v>
      </c>
      <c r="J11" s="282">
        <v>18281.924915997253</v>
      </c>
      <c r="K11" s="283">
        <v>170454.92491599725</v>
      </c>
    </row>
    <row r="12" spans="1:11" x14ac:dyDescent="0.25">
      <c r="A12" s="272" t="s">
        <v>14</v>
      </c>
      <c r="B12" s="275">
        <v>26774.28</v>
      </c>
      <c r="C12" s="284">
        <v>25738.37755979105</v>
      </c>
      <c r="D12" s="285">
        <v>18821.330652240853</v>
      </c>
      <c r="E12" s="286">
        <v>23415.656071073859</v>
      </c>
      <c r="F12" s="286">
        <v>19431.884462524067</v>
      </c>
      <c r="G12" s="287">
        <v>87407.248745629826</v>
      </c>
      <c r="H12" s="288">
        <v>114180.52874562982</v>
      </c>
      <c r="I12" s="289">
        <v>102684</v>
      </c>
      <c r="J12" s="275">
        <v>11496.528745629825</v>
      </c>
      <c r="K12" s="290">
        <v>114180.52874562982</v>
      </c>
    </row>
    <row r="13" spans="1:11" x14ac:dyDescent="0.25">
      <c r="A13" s="272" t="s">
        <v>8</v>
      </c>
      <c r="B13" s="275">
        <v>155229.79999999999</v>
      </c>
      <c r="C13" s="284">
        <v>123508.70762784132</v>
      </c>
      <c r="D13" s="285">
        <v>7356.4727695968431</v>
      </c>
      <c r="E13" s="286">
        <v>50099.02197574357</v>
      </c>
      <c r="F13" s="286">
        <v>39954.800811644687</v>
      </c>
      <c r="G13" s="287">
        <v>220919.0031848264</v>
      </c>
      <c r="H13" s="275">
        <v>376148.80318482639</v>
      </c>
      <c r="I13" s="289">
        <v>336489</v>
      </c>
      <c r="J13" s="275">
        <v>39659.803184826393</v>
      </c>
      <c r="K13" s="290">
        <v>376148.80318482639</v>
      </c>
    </row>
    <row r="14" spans="1:11" x14ac:dyDescent="0.25">
      <c r="A14" s="272" t="s">
        <v>11</v>
      </c>
      <c r="B14" s="275">
        <v>108287.088</v>
      </c>
      <c r="C14" s="284">
        <v>77365.152365946633</v>
      </c>
      <c r="D14" s="285">
        <v>5942.6782876082343</v>
      </c>
      <c r="E14" s="286">
        <v>28459.583029403908</v>
      </c>
      <c r="F14" s="286">
        <v>28266.686145878437</v>
      </c>
      <c r="G14" s="287">
        <v>140035.09982883721</v>
      </c>
      <c r="H14" s="275">
        <v>248322.1878288372</v>
      </c>
      <c r="I14" s="289">
        <v>221330</v>
      </c>
      <c r="J14" s="275">
        <v>26992.187828837195</v>
      </c>
      <c r="K14" s="290">
        <v>248322.1878288372</v>
      </c>
    </row>
    <row r="15" spans="1:11" x14ac:dyDescent="0.25">
      <c r="A15" s="272" t="s">
        <v>6</v>
      </c>
      <c r="B15" s="288">
        <v>2517.2400000000002</v>
      </c>
      <c r="C15" s="284">
        <v>2767.8632172808134</v>
      </c>
      <c r="D15" s="285">
        <v>3235.6180482794066</v>
      </c>
      <c r="E15" s="286">
        <v>1505.2735050366805</v>
      </c>
      <c r="F15" s="286">
        <v>600.86556029572375</v>
      </c>
      <c r="G15" s="291">
        <v>8109.6203308926251</v>
      </c>
      <c r="H15" s="275">
        <v>10626.860330892625</v>
      </c>
      <c r="I15" s="289">
        <v>9389</v>
      </c>
      <c r="J15" s="292">
        <v>1237.8603308926249</v>
      </c>
      <c r="K15" s="290">
        <v>10626.860330892625</v>
      </c>
    </row>
    <row r="16" spans="1:11" x14ac:dyDescent="0.25">
      <c r="A16" s="272" t="s">
        <v>18</v>
      </c>
      <c r="B16" s="275">
        <v>10160.496000000001</v>
      </c>
      <c r="C16" s="293">
        <v>9655.0169950585914</v>
      </c>
      <c r="D16" s="294">
        <v>2919.3894318632174</v>
      </c>
      <c r="E16" s="295">
        <v>8999.6904723476546</v>
      </c>
      <c r="F16" s="295">
        <v>4834.5952276126418</v>
      </c>
      <c r="G16" s="291">
        <v>26408.692126882102</v>
      </c>
      <c r="H16" s="275">
        <v>36569.188126882102</v>
      </c>
      <c r="I16" s="289">
        <v>33130</v>
      </c>
      <c r="J16" s="275">
        <v>3439.1881268821016</v>
      </c>
      <c r="K16" s="290">
        <v>36569.188126882102</v>
      </c>
    </row>
    <row r="17" spans="1:11" x14ac:dyDescent="0.25">
      <c r="A17" s="272" t="s">
        <v>15</v>
      </c>
      <c r="B17" s="275">
        <v>8924.76</v>
      </c>
      <c r="C17" s="284">
        <v>5161.927382182691</v>
      </c>
      <c r="D17" s="285">
        <v>6283.003360101482</v>
      </c>
      <c r="E17" s="286">
        <v>4163.3671388788225</v>
      </c>
      <c r="F17" s="286">
        <v>926.19388466200826</v>
      </c>
      <c r="G17" s="287">
        <v>16534.491765825005</v>
      </c>
      <c r="H17" s="275">
        <v>25459.251765825007</v>
      </c>
      <c r="I17" s="289">
        <v>22783</v>
      </c>
      <c r="J17" s="275">
        <v>2676.2517658250072</v>
      </c>
      <c r="K17" s="290">
        <v>25459.251765825007</v>
      </c>
    </row>
    <row r="18" spans="1:11" x14ac:dyDescent="0.25">
      <c r="A18" s="272" t="s">
        <v>13</v>
      </c>
      <c r="B18" s="275">
        <v>0</v>
      </c>
      <c r="C18" s="293">
        <v>1695.2224582803897</v>
      </c>
      <c r="D18" s="294">
        <v>483.35085709029903</v>
      </c>
      <c r="E18" s="295">
        <v>1706.0520107279683</v>
      </c>
      <c r="F18" s="295">
        <v>1629.8922233288499</v>
      </c>
      <c r="G18" s="291">
        <v>5513.5175494275063</v>
      </c>
      <c r="H18" s="288">
        <v>5513.5175494275063</v>
      </c>
      <c r="I18" s="289">
        <v>4924</v>
      </c>
      <c r="J18" s="275">
        <v>589.51754942750631</v>
      </c>
      <c r="K18" s="290">
        <v>5513.5175494275063</v>
      </c>
    </row>
    <row r="19" spans="1:11" x14ac:dyDescent="0.25">
      <c r="A19" s="272" t="s">
        <v>20</v>
      </c>
      <c r="B19" s="275">
        <v>12250.567999999999</v>
      </c>
      <c r="C19" s="284">
        <v>14304.377114781873</v>
      </c>
      <c r="D19" s="285">
        <v>3315.6559428907162</v>
      </c>
      <c r="E19" s="286">
        <v>10596.807247679595</v>
      </c>
      <c r="F19" s="286">
        <v>6721.390613786928</v>
      </c>
      <c r="G19" s="291">
        <v>34938.23091913911</v>
      </c>
      <c r="H19" s="275">
        <v>47188.79891913911</v>
      </c>
      <c r="I19" s="289">
        <v>42093</v>
      </c>
      <c r="J19" s="275">
        <v>5095.7989191391098</v>
      </c>
      <c r="K19" s="290">
        <v>47188.79891913911</v>
      </c>
    </row>
    <row r="20" spans="1:11" x14ac:dyDescent="0.25">
      <c r="A20" s="272" t="s">
        <v>9</v>
      </c>
      <c r="B20" s="275">
        <v>7216.0879999999997</v>
      </c>
      <c r="C20" s="293">
        <v>4001.7751393477342</v>
      </c>
      <c r="D20" s="294">
        <v>1760.3746497998995</v>
      </c>
      <c r="E20" s="295">
        <v>2416.4421922671031</v>
      </c>
      <c r="F20" s="295">
        <v>2105.0245177040792</v>
      </c>
      <c r="G20" s="291">
        <v>10282.616499118816</v>
      </c>
      <c r="H20" s="275">
        <v>17498.704499118816</v>
      </c>
      <c r="I20" s="289">
        <v>15474</v>
      </c>
      <c r="J20" s="275">
        <v>2024.7044991188159</v>
      </c>
      <c r="K20" s="290">
        <v>17498.704499118816</v>
      </c>
    </row>
    <row r="21" spans="1:11" x14ac:dyDescent="0.25">
      <c r="A21" s="272" t="s">
        <v>3</v>
      </c>
      <c r="B21" s="275">
        <v>1861.232</v>
      </c>
      <c r="C21" s="284">
        <v>1723.9762315403079</v>
      </c>
      <c r="D21" s="285">
        <v>963.36313821932379</v>
      </c>
      <c r="E21" s="286">
        <v>1121.4945818460312</v>
      </c>
      <c r="F21" s="286">
        <v>1316.7048955554571</v>
      </c>
      <c r="G21" s="287">
        <v>5124.5388471611204</v>
      </c>
      <c r="H21" s="275">
        <v>6985.7708471611204</v>
      </c>
      <c r="I21" s="289">
        <v>5996</v>
      </c>
      <c r="J21" s="275">
        <v>989.7708471611204</v>
      </c>
      <c r="K21" s="290">
        <v>6985.7708471611204</v>
      </c>
    </row>
    <row r="22" spans="1:11" x14ac:dyDescent="0.25">
      <c r="A22" s="272" t="s">
        <v>0</v>
      </c>
      <c r="B22" s="296">
        <v>3691.9520000000002</v>
      </c>
      <c r="C22" s="284">
        <v>2175.2854553155444</v>
      </c>
      <c r="D22" s="285">
        <v>2387.6625910574476</v>
      </c>
      <c r="E22" s="286">
        <v>2045.1995990780422</v>
      </c>
      <c r="F22" s="286">
        <v>1954.1315961934963</v>
      </c>
      <c r="G22" s="287">
        <v>8562.2792416445318</v>
      </c>
      <c r="H22" s="275">
        <v>12254.231241644531</v>
      </c>
      <c r="I22" s="289">
        <v>10978</v>
      </c>
      <c r="J22" s="275">
        <v>1276.2312416445311</v>
      </c>
      <c r="K22" s="290">
        <v>12254.231241644531</v>
      </c>
    </row>
    <row r="23" spans="1:11" x14ac:dyDescent="0.25">
      <c r="A23" s="272" t="s">
        <v>7</v>
      </c>
      <c r="B23" s="296">
        <v>0</v>
      </c>
      <c r="C23" s="284">
        <v>891.36697105746157</v>
      </c>
      <c r="D23" s="285">
        <v>1382.9559422036946</v>
      </c>
      <c r="E23" s="286">
        <v>1289.1780652375362</v>
      </c>
      <c r="F23" s="286">
        <v>3549.3561545522825</v>
      </c>
      <c r="G23" s="287">
        <v>7111.8571330509749</v>
      </c>
      <c r="H23" s="275">
        <v>7111.8571330509749</v>
      </c>
      <c r="I23" s="289">
        <v>6409</v>
      </c>
      <c r="J23" s="275">
        <v>702.85713305097488</v>
      </c>
      <c r="K23" s="290">
        <v>7111.8571330509749</v>
      </c>
    </row>
    <row r="24" spans="1:11" x14ac:dyDescent="0.25">
      <c r="A24" s="272" t="s">
        <v>12</v>
      </c>
      <c r="B24" s="296">
        <v>2212.12</v>
      </c>
      <c r="C24" s="284">
        <v>1532.4509671043343</v>
      </c>
      <c r="D24" s="285">
        <v>1546.6507766269067</v>
      </c>
      <c r="E24" s="286">
        <v>889.1710809191942</v>
      </c>
      <c r="F24" s="286">
        <v>1801.6946389716352</v>
      </c>
      <c r="G24" s="287">
        <v>5769.9674636220707</v>
      </c>
      <c r="H24" s="275">
        <v>7982.0874636220706</v>
      </c>
      <c r="I24" s="289">
        <v>7068</v>
      </c>
      <c r="J24" s="296">
        <v>914.08746362207057</v>
      </c>
      <c r="K24" s="290">
        <v>7982.0874636220706</v>
      </c>
    </row>
    <row r="25" spans="1:11" x14ac:dyDescent="0.25">
      <c r="A25" s="272" t="s">
        <v>5</v>
      </c>
      <c r="B25" s="296">
        <v>5751.5119999999997</v>
      </c>
      <c r="C25" s="284">
        <v>4239.3063097557533</v>
      </c>
      <c r="D25" s="285">
        <v>1303.8347581446906</v>
      </c>
      <c r="E25" s="286">
        <v>3444.9907067847198</v>
      </c>
      <c r="F25" s="286">
        <v>1725.7037024655247</v>
      </c>
      <c r="G25" s="287">
        <v>10713.835477150689</v>
      </c>
      <c r="H25" s="275">
        <v>16466.347477150688</v>
      </c>
      <c r="I25" s="289">
        <v>14614</v>
      </c>
      <c r="J25" s="275">
        <v>1852.3474771506881</v>
      </c>
      <c r="K25" s="290">
        <v>16466.347477150688</v>
      </c>
    </row>
    <row r="26" spans="1:11" x14ac:dyDescent="0.25">
      <c r="A26" s="273" t="s">
        <v>27</v>
      </c>
      <c r="B26" s="296">
        <v>8695.92</v>
      </c>
      <c r="C26" s="284">
        <v>7914.7886308061561</v>
      </c>
      <c r="D26" s="285">
        <v>7513.8534388139879</v>
      </c>
      <c r="E26" s="286">
        <v>8984.8596578387951</v>
      </c>
      <c r="F26" s="286">
        <v>5971.6231253977958</v>
      </c>
      <c r="G26" s="287">
        <v>30386.124852856738</v>
      </c>
      <c r="H26" s="275">
        <v>39082.044852856736</v>
      </c>
      <c r="I26" s="289">
        <v>34711</v>
      </c>
      <c r="J26" s="275">
        <v>4371.0448528567358</v>
      </c>
      <c r="K26" s="290">
        <v>39082.044852856736</v>
      </c>
    </row>
    <row r="27" spans="1:11" x14ac:dyDescent="0.25">
      <c r="A27" s="272" t="s">
        <v>2</v>
      </c>
      <c r="B27" s="296">
        <v>5293.8320000000003</v>
      </c>
      <c r="C27" s="284">
        <v>3441.4514787519415</v>
      </c>
      <c r="D27" s="285">
        <v>2970.6363925027063</v>
      </c>
      <c r="E27" s="286">
        <v>1901.6582038859174</v>
      </c>
      <c r="F27" s="286">
        <v>863.0184445595055</v>
      </c>
      <c r="G27" s="287">
        <v>9176.7645197000711</v>
      </c>
      <c r="H27" s="275">
        <v>14470.596519700071</v>
      </c>
      <c r="I27" s="289">
        <v>12793</v>
      </c>
      <c r="J27" s="275">
        <v>1677.5965197000714</v>
      </c>
      <c r="K27" s="290">
        <v>14470.596519700071</v>
      </c>
    </row>
    <row r="28" spans="1:11" x14ac:dyDescent="0.25">
      <c r="A28" s="272" t="s">
        <v>4</v>
      </c>
      <c r="B28" s="296">
        <v>381.4</v>
      </c>
      <c r="C28" s="284">
        <v>1458.9414519271495</v>
      </c>
      <c r="D28" s="285">
        <v>1815.7515425341094</v>
      </c>
      <c r="E28" s="286">
        <v>1488.698215623989</v>
      </c>
      <c r="F28" s="286">
        <v>1446.5172263156819</v>
      </c>
      <c r="G28" s="287">
        <v>6210.9084364009295</v>
      </c>
      <c r="H28" s="275">
        <v>6592.3084364009292</v>
      </c>
      <c r="I28" s="289">
        <v>5647</v>
      </c>
      <c r="J28" s="275">
        <v>945.30843640092917</v>
      </c>
      <c r="K28" s="290">
        <v>6592.3084364009292</v>
      </c>
    </row>
    <row r="29" spans="1:11" x14ac:dyDescent="0.25">
      <c r="A29" s="272" t="s">
        <v>21</v>
      </c>
      <c r="B29" s="296">
        <v>7841.5839999999998</v>
      </c>
      <c r="C29" s="284">
        <v>6290.8255236481718</v>
      </c>
      <c r="D29" s="285">
        <v>7777.8710379449285</v>
      </c>
      <c r="E29" s="286">
        <v>4443.6887000975803</v>
      </c>
      <c r="F29" s="286">
        <v>2237.5429742109127</v>
      </c>
      <c r="G29" s="287">
        <v>20750.928235901592</v>
      </c>
      <c r="H29" s="275">
        <v>28592.512235901591</v>
      </c>
      <c r="I29" s="289">
        <v>25479</v>
      </c>
      <c r="J29" s="275">
        <v>3113.5122359015913</v>
      </c>
      <c r="K29" s="290">
        <v>28592.512235901591</v>
      </c>
    </row>
    <row r="30" spans="1:11" x14ac:dyDescent="0.25">
      <c r="A30" s="272" t="s">
        <v>1</v>
      </c>
      <c r="B30" s="296">
        <v>7078.7839999999997</v>
      </c>
      <c r="C30" s="284">
        <v>4786.8781657489762</v>
      </c>
      <c r="D30" s="285">
        <v>4153.1591863387239</v>
      </c>
      <c r="E30" s="286">
        <v>4341.4980269093639</v>
      </c>
      <c r="F30" s="286">
        <v>3934.4711669600015</v>
      </c>
      <c r="G30" s="287">
        <v>17215.006545957065</v>
      </c>
      <c r="H30" s="275">
        <v>24293.790545957065</v>
      </c>
      <c r="I30" s="289">
        <v>21424</v>
      </c>
      <c r="J30" s="275">
        <v>2869.7905459570648</v>
      </c>
      <c r="K30" s="290">
        <v>24293.790545957065</v>
      </c>
    </row>
    <row r="31" spans="1:11" x14ac:dyDescent="0.25">
      <c r="A31" s="272" t="s">
        <v>16</v>
      </c>
      <c r="B31" s="275">
        <v>8116.192</v>
      </c>
      <c r="C31" s="293">
        <v>5406.9595369193848</v>
      </c>
      <c r="D31" s="294">
        <v>5241.1868431984431</v>
      </c>
      <c r="E31" s="295">
        <v>6554.2394402386317</v>
      </c>
      <c r="F31" s="295">
        <v>3788.8360933715076</v>
      </c>
      <c r="G31" s="297">
        <v>20991.221913727968</v>
      </c>
      <c r="H31" s="288">
        <v>29107.413913727967</v>
      </c>
      <c r="I31" s="289">
        <v>25755</v>
      </c>
      <c r="J31" s="275">
        <v>3352.4139137279672</v>
      </c>
      <c r="K31" s="290">
        <v>29107.413913727967</v>
      </c>
    </row>
    <row r="32" spans="1:11" x14ac:dyDescent="0.25">
      <c r="A32" s="272" t="s">
        <v>17</v>
      </c>
      <c r="B32" s="275">
        <v>0</v>
      </c>
      <c r="C32" s="293">
        <v>2400.314985175773</v>
      </c>
      <c r="D32" s="294">
        <v>1271.831955375982</v>
      </c>
      <c r="E32" s="295">
        <v>2481.687775931473</v>
      </c>
      <c r="F32" s="295">
        <v>1044.743321273188</v>
      </c>
      <c r="G32" s="297">
        <v>7198.578037756417</v>
      </c>
      <c r="H32" s="288">
        <v>7198.578037756417</v>
      </c>
      <c r="I32" s="289">
        <v>6516</v>
      </c>
      <c r="J32" s="275">
        <v>682.57803775641696</v>
      </c>
      <c r="K32" s="290">
        <v>7198.578037756417</v>
      </c>
    </row>
    <row r="33" spans="1:11" ht="15.75" thickBot="1" x14ac:dyDescent="0.3">
      <c r="A33" s="274" t="s">
        <v>10</v>
      </c>
      <c r="B33" s="298">
        <v>640.75199999999995</v>
      </c>
      <c r="C33" s="299">
        <v>1877.4962462233518</v>
      </c>
      <c r="D33" s="300">
        <v>2181.2376818343664</v>
      </c>
      <c r="E33" s="301">
        <v>1041.7987458731616</v>
      </c>
      <c r="F33" s="301">
        <v>359.40275456306796</v>
      </c>
      <c r="G33" s="302">
        <v>5458.9354284939473</v>
      </c>
      <c r="H33" s="303">
        <v>6099.6874284939477</v>
      </c>
      <c r="I33" s="304">
        <v>5414</v>
      </c>
      <c r="J33" s="303">
        <v>685.68742849394766</v>
      </c>
      <c r="K33" s="305">
        <v>6099.6874284939477</v>
      </c>
    </row>
    <row r="34" spans="1:11" ht="16.5" thickTop="1" thickBot="1" x14ac:dyDescent="0.3">
      <c r="A34" s="247" t="s">
        <v>74</v>
      </c>
      <c r="B34" s="306">
        <v>453209.99200000003</v>
      </c>
      <c r="C34" s="307">
        <v>354197.48</v>
      </c>
      <c r="D34" s="308">
        <v>96599.039999999994</v>
      </c>
      <c r="E34" s="309">
        <v>201248</v>
      </c>
      <c r="F34" s="309">
        <v>152948.48000000001</v>
      </c>
      <c r="G34" s="310">
        <v>804992</v>
      </c>
      <c r="H34" s="311">
        <v>1258201.9919999999</v>
      </c>
      <c r="I34" s="312">
        <v>1123273</v>
      </c>
      <c r="J34" s="311">
        <v>134928.99199999994</v>
      </c>
      <c r="K34" s="311">
        <v>1258201.9919999999</v>
      </c>
    </row>
    <row r="40" spans="1:11" x14ac:dyDescent="0.25">
      <c r="A40" s="2" t="s">
        <v>99</v>
      </c>
    </row>
    <row r="41" spans="1:11" ht="15.75" thickBot="1" x14ac:dyDescent="0.3"/>
    <row r="42" spans="1:11" x14ac:dyDescent="0.25">
      <c r="A42" s="316" t="s">
        <v>24</v>
      </c>
      <c r="B42" s="313" t="s">
        <v>97</v>
      </c>
      <c r="C42" s="314" t="s">
        <v>42</v>
      </c>
      <c r="D42" s="314" t="s">
        <v>40</v>
      </c>
      <c r="E42" s="314" t="s">
        <v>98</v>
      </c>
      <c r="F42" s="315" t="s">
        <v>41</v>
      </c>
    </row>
    <row r="43" spans="1:11" x14ac:dyDescent="0.25">
      <c r="A43" s="317"/>
      <c r="B43" s="318"/>
      <c r="C43" s="319"/>
      <c r="D43" s="319"/>
      <c r="E43" s="319"/>
      <c r="F43" s="320"/>
    </row>
    <row r="44" spans="1:11" ht="15.75" thickBot="1" x14ac:dyDescent="0.3">
      <c r="A44" s="321"/>
      <c r="B44" s="322"/>
      <c r="C44" s="323"/>
      <c r="D44" s="323"/>
      <c r="E44" s="323"/>
      <c r="F44" s="324"/>
    </row>
    <row r="45" spans="1:11" ht="15.75" thickTop="1" x14ac:dyDescent="0.25">
      <c r="A45" s="248" t="s">
        <v>25</v>
      </c>
      <c r="B45" s="249">
        <v>36684</v>
      </c>
      <c r="C45" s="250">
        <v>1324.2337</v>
      </c>
      <c r="D45" s="251">
        <v>1074867.2</v>
      </c>
      <c r="E45" s="252">
        <v>4607</v>
      </c>
      <c r="F45" s="16">
        <v>2274213</v>
      </c>
    </row>
    <row r="46" spans="1:11" x14ac:dyDescent="0.25">
      <c r="A46" s="253" t="s">
        <v>14</v>
      </c>
      <c r="B46" s="254">
        <v>20588</v>
      </c>
      <c r="C46" s="255">
        <v>4174.0290999999997</v>
      </c>
      <c r="D46" s="256">
        <v>842948.9</v>
      </c>
      <c r="E46" s="257">
        <v>1755</v>
      </c>
      <c r="F46" s="8">
        <v>2391174</v>
      </c>
    </row>
    <row r="47" spans="1:11" x14ac:dyDescent="0.25">
      <c r="A47" s="253" t="s">
        <v>8</v>
      </c>
      <c r="B47" s="254">
        <v>98794</v>
      </c>
      <c r="C47" s="255">
        <v>1631.4538</v>
      </c>
      <c r="D47" s="256">
        <v>1803533.3</v>
      </c>
      <c r="E47" s="257">
        <v>10175</v>
      </c>
      <c r="F47" s="8">
        <v>4916604</v>
      </c>
    </row>
    <row r="48" spans="1:11" x14ac:dyDescent="0.25">
      <c r="A48" s="253" t="s">
        <v>11</v>
      </c>
      <c r="B48" s="254">
        <v>61884</v>
      </c>
      <c r="C48" s="255">
        <v>1317.9149</v>
      </c>
      <c r="D48" s="256">
        <v>1024527.1</v>
      </c>
      <c r="E48" s="257">
        <v>7098</v>
      </c>
      <c r="F48" s="8">
        <v>3478333</v>
      </c>
    </row>
    <row r="49" spans="1:6" x14ac:dyDescent="0.25">
      <c r="A49" s="253" t="s">
        <v>6</v>
      </c>
      <c r="B49" s="254">
        <v>2214</v>
      </c>
      <c r="C49" s="255">
        <v>717.56690000000003</v>
      </c>
      <c r="D49" s="256">
        <v>54188.9</v>
      </c>
      <c r="E49" s="257">
        <v>165</v>
      </c>
      <c r="F49" s="8">
        <v>73939</v>
      </c>
    </row>
    <row r="50" spans="1:6" x14ac:dyDescent="0.25">
      <c r="A50" s="253" t="s">
        <v>18</v>
      </c>
      <c r="B50" s="254">
        <v>7723</v>
      </c>
      <c r="C50" s="255">
        <v>647.43650000000002</v>
      </c>
      <c r="D50" s="256">
        <v>323983.2</v>
      </c>
      <c r="E50" s="257">
        <v>666</v>
      </c>
      <c r="F50" s="8">
        <v>594917</v>
      </c>
    </row>
    <row r="51" spans="1:6" x14ac:dyDescent="0.25">
      <c r="A51" s="253" t="s">
        <v>15</v>
      </c>
      <c r="B51" s="254">
        <v>4129</v>
      </c>
      <c r="C51" s="255">
        <v>1393.3892000000001</v>
      </c>
      <c r="D51" s="256">
        <v>149878.6</v>
      </c>
      <c r="E51" s="257">
        <v>585</v>
      </c>
      <c r="F51" s="8">
        <v>113972</v>
      </c>
    </row>
    <row r="52" spans="1:6" x14ac:dyDescent="0.25">
      <c r="A52" s="253" t="s">
        <v>13</v>
      </c>
      <c r="B52" s="254">
        <v>1356</v>
      </c>
      <c r="C52" s="255">
        <v>107.19329999999999</v>
      </c>
      <c r="D52" s="256">
        <v>61416.800000000003</v>
      </c>
      <c r="E52" s="257">
        <v>0</v>
      </c>
      <c r="F52" s="8">
        <v>200565</v>
      </c>
    </row>
    <row r="53" spans="1:6" x14ac:dyDescent="0.25">
      <c r="A53" s="253" t="s">
        <v>26</v>
      </c>
      <c r="B53" s="254">
        <v>11442</v>
      </c>
      <c r="C53" s="255">
        <v>735.31700000000001</v>
      </c>
      <c r="D53" s="256">
        <v>381478.40000000002</v>
      </c>
      <c r="E53" s="257">
        <v>803</v>
      </c>
      <c r="F53" s="8">
        <v>827095</v>
      </c>
    </row>
    <row r="54" spans="1:6" x14ac:dyDescent="0.25">
      <c r="A54" s="253" t="s">
        <v>9</v>
      </c>
      <c r="B54" s="254">
        <v>3201</v>
      </c>
      <c r="C54" s="255">
        <v>390.40039999999999</v>
      </c>
      <c r="D54" s="256">
        <v>86990.399999999994</v>
      </c>
      <c r="E54" s="257">
        <v>473</v>
      </c>
      <c r="F54" s="8">
        <v>259032</v>
      </c>
    </row>
    <row r="55" spans="1:6" x14ac:dyDescent="0.25">
      <c r="A55" s="253" t="s">
        <v>3</v>
      </c>
      <c r="B55" s="254">
        <v>1379</v>
      </c>
      <c r="C55" s="255">
        <v>213.64619999999999</v>
      </c>
      <c r="D55" s="256">
        <v>40373.1</v>
      </c>
      <c r="E55" s="257">
        <v>122</v>
      </c>
      <c r="F55" s="8">
        <v>162026</v>
      </c>
    </row>
    <row r="56" spans="1:6" x14ac:dyDescent="0.25">
      <c r="A56" s="253" t="s">
        <v>0</v>
      </c>
      <c r="B56" s="254">
        <v>1740</v>
      </c>
      <c r="C56" s="255">
        <v>529.51480000000004</v>
      </c>
      <c r="D56" s="256">
        <v>73625.899999999994</v>
      </c>
      <c r="E56" s="257">
        <v>242</v>
      </c>
      <c r="F56" s="8">
        <v>240464</v>
      </c>
    </row>
    <row r="57" spans="1:6" x14ac:dyDescent="0.25">
      <c r="A57" s="253" t="s">
        <v>7</v>
      </c>
      <c r="B57" s="254">
        <v>713</v>
      </c>
      <c r="C57" s="258">
        <v>306.69979999999998</v>
      </c>
      <c r="D57" s="256">
        <v>46409.599999999999</v>
      </c>
      <c r="E57" s="257">
        <v>0</v>
      </c>
      <c r="F57" s="8">
        <v>436763</v>
      </c>
    </row>
    <row r="58" spans="1:6" x14ac:dyDescent="0.25">
      <c r="A58" s="253" t="s">
        <v>12</v>
      </c>
      <c r="B58" s="254">
        <v>1225</v>
      </c>
      <c r="C58" s="255">
        <v>343.00259999999997</v>
      </c>
      <c r="D58" s="256">
        <v>32009.599999999999</v>
      </c>
      <c r="E58" s="257">
        <v>145</v>
      </c>
      <c r="F58" s="8">
        <v>221706</v>
      </c>
    </row>
    <row r="59" spans="1:6" x14ac:dyDescent="0.25">
      <c r="A59" s="253" t="s">
        <v>5</v>
      </c>
      <c r="B59" s="254">
        <v>3391</v>
      </c>
      <c r="C59" s="255">
        <v>289.15300000000002</v>
      </c>
      <c r="D59" s="256">
        <v>124017.5</v>
      </c>
      <c r="E59" s="257">
        <v>377</v>
      </c>
      <c r="F59" s="8">
        <v>212355</v>
      </c>
    </row>
    <row r="60" spans="1:6" x14ac:dyDescent="0.25">
      <c r="A60" s="259" t="s">
        <v>27</v>
      </c>
      <c r="B60" s="254">
        <v>6331</v>
      </c>
      <c r="C60" s="255">
        <v>1666.3562999999999</v>
      </c>
      <c r="D60" s="256">
        <v>323449.3</v>
      </c>
      <c r="E60" s="257">
        <v>570</v>
      </c>
      <c r="F60" s="8">
        <v>734833</v>
      </c>
    </row>
    <row r="61" spans="1:6" x14ac:dyDescent="0.25">
      <c r="A61" s="253" t="s">
        <v>2</v>
      </c>
      <c r="B61" s="254">
        <v>2752</v>
      </c>
      <c r="C61" s="255">
        <v>658.80160000000001</v>
      </c>
      <c r="D61" s="256">
        <v>68458.5</v>
      </c>
      <c r="E61" s="257">
        <v>347</v>
      </c>
      <c r="F61" s="8">
        <v>106198</v>
      </c>
    </row>
    <row r="62" spans="1:6" x14ac:dyDescent="0.25">
      <c r="A62" s="253" t="s">
        <v>4</v>
      </c>
      <c r="B62" s="254">
        <v>1167</v>
      </c>
      <c r="C62" s="255">
        <v>402.6814</v>
      </c>
      <c r="D62" s="256">
        <v>53592.2</v>
      </c>
      <c r="E62" s="257">
        <v>25</v>
      </c>
      <c r="F62" s="8">
        <v>178123</v>
      </c>
    </row>
    <row r="63" spans="1:6" x14ac:dyDescent="0.25">
      <c r="A63" s="253" t="s">
        <v>28</v>
      </c>
      <c r="B63" s="254">
        <v>5032</v>
      </c>
      <c r="C63" s="255">
        <v>1724.9078</v>
      </c>
      <c r="D63" s="256">
        <v>159970</v>
      </c>
      <c r="E63" s="257">
        <v>514</v>
      </c>
      <c r="F63" s="8">
        <v>275462</v>
      </c>
    </row>
    <row r="64" spans="1:6" x14ac:dyDescent="0.25">
      <c r="A64" s="253" t="s">
        <v>1</v>
      </c>
      <c r="B64" s="254">
        <v>3829</v>
      </c>
      <c r="C64" s="255">
        <v>921.05110000000002</v>
      </c>
      <c r="D64" s="256">
        <v>156291.20000000001</v>
      </c>
      <c r="E64" s="257">
        <v>464</v>
      </c>
      <c r="F64" s="8">
        <v>484153</v>
      </c>
    </row>
    <row r="65" spans="1:6" x14ac:dyDescent="0.25">
      <c r="A65" s="253" t="s">
        <v>16</v>
      </c>
      <c r="B65" s="254">
        <v>4325</v>
      </c>
      <c r="C65" s="255">
        <v>1162.3443</v>
      </c>
      <c r="D65" s="256">
        <v>235948.5</v>
      </c>
      <c r="E65" s="257">
        <v>532</v>
      </c>
      <c r="F65" s="8">
        <v>466232</v>
      </c>
    </row>
    <row r="66" spans="1:6" x14ac:dyDescent="0.25">
      <c r="A66" s="253" t="s">
        <v>17</v>
      </c>
      <c r="B66" s="254">
        <v>1920</v>
      </c>
      <c r="C66" s="255">
        <v>282.0557</v>
      </c>
      <c r="D66" s="256">
        <v>89339.199999999997</v>
      </c>
      <c r="E66" s="257">
        <v>0</v>
      </c>
      <c r="F66" s="8">
        <v>128560</v>
      </c>
    </row>
    <row r="67" spans="1:6" ht="15.75" thickBot="1" x14ac:dyDescent="0.3">
      <c r="A67" s="260" t="s">
        <v>10</v>
      </c>
      <c r="B67" s="261">
        <v>1501</v>
      </c>
      <c r="C67" s="262">
        <v>483.73570000000001</v>
      </c>
      <c r="D67" s="263">
        <v>37504.1</v>
      </c>
      <c r="E67" s="264">
        <v>42</v>
      </c>
      <c r="F67" s="115">
        <v>44226</v>
      </c>
    </row>
    <row r="68" spans="1:6" ht="15.75" thickBot="1" x14ac:dyDescent="0.3">
      <c r="A68" s="265" t="s">
        <v>29</v>
      </c>
      <c r="B68" s="266">
        <v>283320</v>
      </c>
      <c r="C68" s="267">
        <f t="shared" ref="C68:D68" si="0">SUM(C45:C67)</f>
        <v>21422.885100000007</v>
      </c>
      <c r="D68" s="268">
        <f t="shared" si="0"/>
        <v>7244801.5</v>
      </c>
      <c r="E68" s="269">
        <f>SUM(E45:E67)</f>
        <v>29707</v>
      </c>
      <c r="F68" s="270">
        <f>SUM(F45:F67)</f>
        <v>18820945</v>
      </c>
    </row>
  </sheetData>
  <mergeCells count="12">
    <mergeCell ref="F42:F44"/>
    <mergeCell ref="A42:A44"/>
    <mergeCell ref="B42:B44"/>
    <mergeCell ref="C42:C44"/>
    <mergeCell ref="D42:D44"/>
    <mergeCell ref="E42:E44"/>
    <mergeCell ref="F9:F10"/>
    <mergeCell ref="C3:D3"/>
    <mergeCell ref="A9:A10"/>
    <mergeCell ref="C9:C10"/>
    <mergeCell ref="D9:D10"/>
    <mergeCell ref="E9:E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 differentFirst="1">
    <oddFooter>&amp;C&amp;P/&amp;N</oddFooter>
    <firstFooter>&amp;C&amp;P/&amp;N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13EA-C44E-476E-884C-FF6633A0F6A3}">
  <dimension ref="B1:D20"/>
  <sheetViews>
    <sheetView workbookViewId="0">
      <selection activeCell="B4" sqref="B4"/>
    </sheetView>
  </sheetViews>
  <sheetFormatPr defaultRowHeight="15" x14ac:dyDescent="0.25"/>
  <cols>
    <col min="1" max="1" width="2.7109375" customWidth="1"/>
    <col min="2" max="2" width="55" customWidth="1"/>
    <col min="3" max="3" width="12.42578125" customWidth="1"/>
    <col min="4" max="4" width="12.28515625" customWidth="1"/>
    <col min="5" max="5" width="2.7109375" customWidth="1"/>
  </cols>
  <sheetData>
    <row r="1" spans="2:4" x14ac:dyDescent="0.25">
      <c r="D1" s="170"/>
    </row>
    <row r="2" spans="2:4" ht="18.75" x14ac:dyDescent="0.25">
      <c r="B2" s="237" t="s">
        <v>82</v>
      </c>
      <c r="C2" s="238"/>
      <c r="D2" s="238"/>
    </row>
    <row r="3" spans="2:4" ht="15.75" thickBot="1" x14ac:dyDescent="0.3">
      <c r="D3" s="170"/>
    </row>
    <row r="4" spans="2:4" x14ac:dyDescent="0.25">
      <c r="B4" s="200" t="s">
        <v>83</v>
      </c>
      <c r="C4" s="201" t="s">
        <v>33</v>
      </c>
      <c r="D4" s="202" t="s">
        <v>84</v>
      </c>
    </row>
    <row r="5" spans="2:4" x14ac:dyDescent="0.25">
      <c r="B5" s="171" t="s">
        <v>85</v>
      </c>
      <c r="C5" s="172">
        <v>15100</v>
      </c>
      <c r="D5" s="173">
        <v>3595</v>
      </c>
    </row>
    <row r="6" spans="2:4" x14ac:dyDescent="0.25">
      <c r="B6" s="171" t="s">
        <v>14</v>
      </c>
      <c r="C6" s="172">
        <v>955</v>
      </c>
      <c r="D6" s="173">
        <v>3595</v>
      </c>
    </row>
    <row r="7" spans="2:4" x14ac:dyDescent="0.25">
      <c r="B7" s="171" t="s">
        <v>86</v>
      </c>
      <c r="C7" s="172">
        <v>4777</v>
      </c>
      <c r="D7" s="173">
        <v>3595</v>
      </c>
    </row>
    <row r="8" spans="2:4" x14ac:dyDescent="0.25">
      <c r="B8" s="171" t="s">
        <v>11</v>
      </c>
      <c r="C8" s="172">
        <v>825</v>
      </c>
      <c r="D8" s="173">
        <v>3595</v>
      </c>
    </row>
    <row r="9" spans="2:4" x14ac:dyDescent="0.25">
      <c r="B9" s="171" t="s">
        <v>13</v>
      </c>
      <c r="C9" s="172">
        <v>2700</v>
      </c>
      <c r="D9" s="173">
        <v>3595</v>
      </c>
    </row>
    <row r="10" spans="2:4" x14ac:dyDescent="0.25">
      <c r="B10" s="171" t="s">
        <v>3</v>
      </c>
      <c r="C10" s="172">
        <v>595</v>
      </c>
      <c r="D10" s="173">
        <v>3595</v>
      </c>
    </row>
    <row r="11" spans="2:4" x14ac:dyDescent="0.25">
      <c r="B11" s="171" t="s">
        <v>0</v>
      </c>
      <c r="C11" s="172">
        <v>533</v>
      </c>
      <c r="D11" s="173">
        <v>3595</v>
      </c>
    </row>
    <row r="12" spans="2:4" x14ac:dyDescent="0.25">
      <c r="B12" s="171" t="s">
        <v>7</v>
      </c>
      <c r="C12" s="172">
        <v>944</v>
      </c>
      <c r="D12" s="173">
        <v>3595</v>
      </c>
    </row>
    <row r="13" spans="2:4" x14ac:dyDescent="0.25">
      <c r="B13" s="171" t="s">
        <v>12</v>
      </c>
      <c r="C13" s="172">
        <v>4789</v>
      </c>
      <c r="D13" s="173">
        <v>3595</v>
      </c>
    </row>
    <row r="14" spans="2:4" x14ac:dyDescent="0.25">
      <c r="B14" s="171" t="s">
        <v>5</v>
      </c>
      <c r="C14" s="172">
        <v>1801</v>
      </c>
      <c r="D14" s="173">
        <v>3595</v>
      </c>
    </row>
    <row r="15" spans="2:4" x14ac:dyDescent="0.25">
      <c r="B15" s="171" t="s">
        <v>2</v>
      </c>
      <c r="C15" s="172">
        <v>136</v>
      </c>
      <c r="D15" s="173">
        <v>3595</v>
      </c>
    </row>
    <row r="16" spans="2:4" x14ac:dyDescent="0.25">
      <c r="B16" s="171" t="s">
        <v>4</v>
      </c>
      <c r="C16" s="172">
        <v>5351</v>
      </c>
      <c r="D16" s="173">
        <v>3595</v>
      </c>
    </row>
    <row r="17" spans="2:4" x14ac:dyDescent="0.25">
      <c r="B17" s="174" t="s">
        <v>16</v>
      </c>
      <c r="C17" s="172">
        <v>13814</v>
      </c>
      <c r="D17" s="173">
        <v>3595</v>
      </c>
    </row>
    <row r="18" spans="2:4" x14ac:dyDescent="0.25">
      <c r="B18" s="171" t="s">
        <v>17</v>
      </c>
      <c r="C18" s="172">
        <v>2782</v>
      </c>
      <c r="D18" s="173">
        <v>3595</v>
      </c>
    </row>
    <row r="19" spans="2:4" ht="15.75" thickBot="1" x14ac:dyDescent="0.3">
      <c r="B19" s="174" t="s">
        <v>10</v>
      </c>
      <c r="C19" s="172">
        <v>5756</v>
      </c>
      <c r="D19" s="173">
        <v>3595</v>
      </c>
    </row>
    <row r="20" spans="2:4" ht="19.5" thickBot="1" x14ac:dyDescent="0.35">
      <c r="B20" s="203" t="s">
        <v>87</v>
      </c>
      <c r="C20" s="204">
        <f>C5+C6+C7+C8+C9+C10+C11+C12+C13+C14+C15+C16+C17+C18+C19</f>
        <v>60858</v>
      </c>
      <c r="D20" s="205"/>
    </row>
  </sheetData>
  <mergeCells count="1">
    <mergeCell ref="B2:D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Footer>&amp;C&amp;P/&amp;N</oddFooter>
    <firstFooter xml:space="preserve">&amp;C&amp;P/&amp;N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NID 2022 - VI.verze</vt:lpstr>
      <vt:lpstr>INV dotace</vt:lpstr>
      <vt:lpstr>NIV dotace</vt:lpstr>
      <vt:lpstr>převody INV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Dannhoferová Irena</cp:lastModifiedBy>
  <cp:lastPrinted>2021-11-19T10:03:43Z</cp:lastPrinted>
  <dcterms:created xsi:type="dcterms:W3CDTF">2015-08-10T14:08:21Z</dcterms:created>
  <dcterms:modified xsi:type="dcterms:W3CDTF">2021-11-19T10:04:28Z</dcterms:modified>
</cp:coreProperties>
</file>